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4050" windowWidth="17760" windowHeight="5520" tabRatio="831"/>
  </bookViews>
  <sheets>
    <sheet name="Данные по УК" sheetId="7" r:id="rId1"/>
    <sheet name="Данные по МКД-4" sheetId="4" r:id="rId2"/>
    <sheet name="Данные по МКД-6" sheetId="6" r:id="rId3"/>
    <sheet name="Данные по МКД-2" sheetId="2" r:id="rId4"/>
    <sheet name="Данные по МКД-1" sheetId="1" r:id="rId5"/>
    <sheet name="Данные по МКД-3" sheetId="3" r:id="rId6"/>
    <sheet name="Данные по МКД-5" sheetId="5" r:id="rId7"/>
  </sheets>
  <definedNames>
    <definedName name="_xlnm.Print_Area" localSheetId="4">'Данные по МКД-1'!$A$1:$G$35</definedName>
  </definedNames>
  <calcPr calcId="145621"/>
</workbook>
</file>

<file path=xl/calcChain.xml><?xml version="1.0" encoding="utf-8"?>
<calcChain xmlns="http://schemas.openxmlformats.org/spreadsheetml/2006/main">
  <c r="D13" i="7" l="1"/>
  <c r="E13" i="7"/>
  <c r="F13" i="7"/>
  <c r="C13" i="7"/>
  <c r="B13" i="7"/>
  <c r="E79" i="4" l="1"/>
  <c r="F16" i="3" s="1"/>
  <c r="F17" i="3" s="1"/>
  <c r="E62" i="4"/>
  <c r="G16" i="3"/>
  <c r="G17" i="3" s="1"/>
  <c r="I16" i="3"/>
  <c r="I17" i="3" s="1"/>
  <c r="C5" i="5" l="1"/>
  <c r="E17" i="3"/>
  <c r="D17" i="3"/>
  <c r="C17" i="3"/>
  <c r="E16" i="3"/>
  <c r="D16" i="3"/>
  <c r="C16" i="3"/>
  <c r="H6" i="3"/>
  <c r="H5" i="3"/>
  <c r="H3" i="3"/>
  <c r="D3" i="3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H34" i="1"/>
  <c r="G31" i="1"/>
  <c r="F31" i="1"/>
  <c r="E31" i="1"/>
  <c r="D31" i="1"/>
  <c r="C31" i="1"/>
  <c r="H26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H5" i="1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H6" i="2"/>
  <c r="G6" i="2"/>
  <c r="F6" i="2"/>
  <c r="E6" i="2"/>
  <c r="D6" i="2"/>
  <c r="C6" i="2"/>
  <c r="G5" i="2"/>
  <c r="F5" i="2"/>
  <c r="E5" i="2"/>
  <c r="D5" i="2"/>
  <c r="C5" i="2"/>
  <c r="G4" i="2"/>
  <c r="F4" i="2"/>
  <c r="E4" i="2"/>
  <c r="D4" i="2"/>
  <c r="C4" i="2"/>
  <c r="K23" i="6"/>
  <c r="J23" i="6"/>
  <c r="I23" i="6"/>
  <c r="H23" i="6"/>
  <c r="G23" i="6"/>
  <c r="F23" i="6"/>
  <c r="I22" i="6"/>
  <c r="H22" i="6"/>
  <c r="G22" i="6"/>
  <c r="F22" i="6"/>
  <c r="I21" i="6"/>
  <c r="H21" i="6"/>
  <c r="F21" i="6"/>
  <c r="J20" i="6"/>
  <c r="I20" i="6"/>
  <c r="H20" i="6"/>
  <c r="G20" i="6"/>
  <c r="F20" i="6"/>
  <c r="J19" i="6"/>
  <c r="J18" i="6"/>
  <c r="I18" i="6"/>
  <c r="H18" i="6"/>
  <c r="G18" i="6"/>
  <c r="F18" i="6"/>
  <c r="J17" i="6"/>
  <c r="I17" i="6"/>
  <c r="H17" i="6"/>
  <c r="G17" i="6"/>
  <c r="F17" i="6"/>
  <c r="I16" i="6"/>
  <c r="H16" i="6"/>
  <c r="G16" i="6"/>
  <c r="F16" i="6"/>
  <c r="F14" i="6"/>
  <c r="J13" i="6"/>
  <c r="I13" i="6"/>
  <c r="H13" i="6"/>
  <c r="G13" i="6"/>
  <c r="F13" i="6"/>
  <c r="I12" i="6"/>
  <c r="H12" i="6"/>
  <c r="G12" i="6"/>
  <c r="F12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F94" i="4"/>
  <c r="E94" i="4"/>
  <c r="D94" i="4"/>
  <c r="C94" i="4"/>
  <c r="F93" i="4"/>
  <c r="E93" i="4"/>
  <c r="D93" i="4"/>
  <c r="C93" i="4"/>
  <c r="F92" i="4"/>
  <c r="E92" i="4"/>
  <c r="D92" i="4"/>
  <c r="C92" i="4"/>
  <c r="G88" i="4"/>
  <c r="G87" i="4"/>
  <c r="G86" i="4"/>
  <c r="G85" i="4"/>
  <c r="F85" i="4"/>
  <c r="E85" i="4"/>
  <c r="D85" i="4"/>
  <c r="C85" i="4"/>
  <c r="B85" i="4"/>
  <c r="G84" i="4"/>
  <c r="G83" i="4"/>
  <c r="F83" i="4"/>
  <c r="D83" i="4"/>
  <c r="C83" i="4"/>
  <c r="B83" i="4"/>
  <c r="G82" i="4"/>
  <c r="G81" i="4"/>
  <c r="G80" i="4"/>
  <c r="G79" i="4"/>
  <c r="D79" i="4"/>
  <c r="C79" i="4"/>
  <c r="B79" i="4"/>
  <c r="G78" i="4"/>
  <c r="G77" i="4"/>
  <c r="E77" i="4"/>
  <c r="D77" i="4"/>
  <c r="C77" i="4"/>
  <c r="B77" i="4"/>
  <c r="G76" i="4"/>
  <c r="G75" i="4"/>
  <c r="E75" i="4"/>
  <c r="D75" i="4"/>
  <c r="C75" i="4"/>
  <c r="B75" i="4"/>
  <c r="G74" i="4"/>
  <c r="G73" i="4"/>
  <c r="E73" i="4"/>
  <c r="D73" i="4"/>
  <c r="C73" i="4"/>
  <c r="B73" i="4"/>
  <c r="G72" i="4"/>
  <c r="G71" i="4"/>
  <c r="G70" i="4"/>
  <c r="G69" i="4"/>
  <c r="G68" i="4"/>
  <c r="F68" i="4"/>
  <c r="E68" i="4"/>
  <c r="D68" i="4"/>
  <c r="C68" i="4"/>
  <c r="B68" i="4"/>
  <c r="G67" i="4"/>
  <c r="G66" i="4"/>
  <c r="F66" i="4"/>
  <c r="E66" i="4"/>
  <c r="D66" i="4"/>
  <c r="C66" i="4"/>
  <c r="B66" i="4"/>
  <c r="G65" i="4"/>
  <c r="G64" i="4"/>
  <c r="G63" i="4"/>
  <c r="G62" i="4"/>
  <c r="D62" i="4"/>
  <c r="C62" i="4"/>
  <c r="B62" i="4"/>
  <c r="G61" i="4"/>
  <c r="G60" i="4"/>
  <c r="E60" i="4"/>
  <c r="D60" i="4"/>
  <c r="C60" i="4"/>
  <c r="B60" i="4"/>
  <c r="G59" i="4"/>
  <c r="G58" i="4"/>
  <c r="E58" i="4"/>
  <c r="D58" i="4"/>
  <c r="C58" i="4"/>
  <c r="B58" i="4"/>
  <c r="G57" i="4"/>
  <c r="G56" i="4"/>
  <c r="E56" i="4"/>
  <c r="D56" i="4"/>
  <c r="C56" i="4"/>
  <c r="B56" i="4"/>
  <c r="G55" i="4"/>
  <c r="G54" i="4"/>
  <c r="G53" i="4"/>
  <c r="G52" i="4"/>
  <c r="G51" i="4"/>
  <c r="F51" i="4"/>
  <c r="E51" i="4"/>
  <c r="D51" i="4"/>
  <c r="C51" i="4"/>
  <c r="B51" i="4"/>
  <c r="G50" i="4"/>
  <c r="G49" i="4"/>
  <c r="F49" i="4"/>
  <c r="E49" i="4"/>
  <c r="D49" i="4"/>
  <c r="C49" i="4"/>
  <c r="B49" i="4"/>
  <c r="G48" i="4"/>
  <c r="G47" i="4"/>
  <c r="G46" i="4"/>
  <c r="G45" i="4"/>
  <c r="E45" i="4"/>
  <c r="D45" i="4"/>
  <c r="C45" i="4"/>
  <c r="B45" i="4"/>
  <c r="G44" i="4"/>
  <c r="G43" i="4"/>
  <c r="E43" i="4"/>
  <c r="D43" i="4"/>
  <c r="C43" i="4"/>
  <c r="B43" i="4"/>
  <c r="G42" i="4"/>
  <c r="G41" i="4"/>
  <c r="G40" i="4"/>
  <c r="E40" i="4"/>
  <c r="D40" i="4"/>
  <c r="C40" i="4"/>
  <c r="B40" i="4"/>
  <c r="G39" i="4"/>
  <c r="G38" i="4"/>
  <c r="E38" i="4"/>
  <c r="D38" i="4"/>
  <c r="C38" i="4"/>
  <c r="B38" i="4"/>
  <c r="G37" i="4"/>
  <c r="G36" i="4"/>
  <c r="G35" i="4"/>
  <c r="G34" i="4"/>
  <c r="F34" i="4"/>
  <c r="E34" i="4"/>
  <c r="D34" i="4"/>
  <c r="C34" i="4"/>
  <c r="B34" i="4"/>
  <c r="G33" i="4"/>
  <c r="G32" i="4"/>
  <c r="F32" i="4"/>
  <c r="E32" i="4"/>
  <c r="D32" i="4"/>
  <c r="C32" i="4"/>
  <c r="B32" i="4"/>
  <c r="G31" i="4"/>
  <c r="G30" i="4"/>
  <c r="G29" i="4"/>
  <c r="G28" i="4"/>
  <c r="E28" i="4"/>
  <c r="D28" i="4"/>
  <c r="C28" i="4"/>
  <c r="B28" i="4"/>
  <c r="G27" i="4"/>
  <c r="G26" i="4"/>
  <c r="E26" i="4"/>
  <c r="D26" i="4"/>
  <c r="C26" i="4"/>
  <c r="B26" i="4"/>
  <c r="G25" i="4"/>
  <c r="G24" i="4"/>
  <c r="E24" i="4"/>
  <c r="D24" i="4"/>
  <c r="C24" i="4"/>
  <c r="B24" i="4"/>
  <c r="G23" i="4"/>
  <c r="G22" i="4"/>
  <c r="E22" i="4"/>
  <c r="D22" i="4"/>
  <c r="C22" i="4"/>
  <c r="B22" i="4"/>
  <c r="G21" i="4"/>
  <c r="G20" i="4"/>
  <c r="G19" i="4"/>
  <c r="G18" i="4"/>
  <c r="F17" i="4"/>
  <c r="E17" i="4"/>
  <c r="D17" i="4"/>
  <c r="C17" i="4"/>
  <c r="C15" i="4" s="1"/>
  <c r="B17" i="4"/>
  <c r="G16" i="4"/>
  <c r="F15" i="4"/>
  <c r="E15" i="4"/>
  <c r="D15" i="4"/>
  <c r="B15" i="4"/>
  <c r="G14" i="4"/>
  <c r="G13" i="4"/>
  <c r="G12" i="4"/>
  <c r="G11" i="4"/>
  <c r="E11" i="4"/>
  <c r="D11" i="4"/>
  <c r="C11" i="4"/>
  <c r="B11" i="4"/>
  <c r="G10" i="4"/>
  <c r="G9" i="4"/>
  <c r="E9" i="4"/>
  <c r="D9" i="4"/>
  <c r="C9" i="4"/>
  <c r="B9" i="4"/>
  <c r="G8" i="4"/>
  <c r="G7" i="4"/>
  <c r="E7" i="4"/>
  <c r="D7" i="4"/>
  <c r="C7" i="4"/>
  <c r="B7" i="4"/>
  <c r="G6" i="4"/>
  <c r="G5" i="4"/>
  <c r="E5" i="4"/>
  <c r="D5" i="4"/>
  <c r="C5" i="4"/>
  <c r="B5" i="4"/>
  <c r="G16" i="7"/>
  <c r="F16" i="7"/>
  <c r="E16" i="7"/>
  <c r="D16" i="7"/>
  <c r="C16" i="7"/>
  <c r="B16" i="7"/>
  <c r="G14" i="7"/>
  <c r="G12" i="7"/>
  <c r="G11" i="7"/>
  <c r="G10" i="7"/>
  <c r="G9" i="7"/>
  <c r="F9" i="7"/>
  <c r="E9" i="7"/>
  <c r="D9" i="7"/>
  <c r="C9" i="7"/>
  <c r="B9" i="7"/>
  <c r="G8" i="7"/>
  <c r="G7" i="7"/>
  <c r="G6" i="7"/>
  <c r="F6" i="7"/>
  <c r="E6" i="7"/>
  <c r="D6" i="7"/>
  <c r="C6" i="7"/>
  <c r="B6" i="7"/>
  <c r="G5" i="7"/>
  <c r="F5" i="7"/>
  <c r="E5" i="7"/>
  <c r="D5" i="7"/>
  <c r="C5" i="7"/>
  <c r="B5" i="7"/>
  <c r="G4" i="7"/>
  <c r="F4" i="7"/>
  <c r="E4" i="7"/>
  <c r="D4" i="7"/>
  <c r="C4" i="7"/>
  <c r="B4" i="7"/>
  <c r="G3" i="7"/>
  <c r="F3" i="7"/>
  <c r="E3" i="7"/>
  <c r="D3" i="7"/>
  <c r="C3" i="7"/>
  <c r="B3" i="7"/>
  <c r="G15" i="4" l="1"/>
  <c r="G17" i="4"/>
  <c r="H16" i="3"/>
  <c r="H17" i="3"/>
</calcChain>
</file>

<file path=xl/sharedStrings.xml><?xml version="1.0" encoding="utf-8"?>
<sst xmlns="http://schemas.openxmlformats.org/spreadsheetml/2006/main" count="210" uniqueCount="93">
  <si>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</si>
  <si>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</si>
  <si>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</si>
  <si>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</si>
  <si>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</si>
  <si>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</si>
  <si>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</si>
  <si>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</si>
  <si>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</si>
  <si>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</si>
  <si>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</si>
  <si>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</si>
  <si>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</si>
  <si>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</si>
  <si>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Данные за период управления:</t>
  </si>
  <si>
    <t>Работы по содержанию и ремонту лифта (лифтов) в многоквартирном доме</t>
  </si>
  <si>
    <t>Работы по содержанию и ремонту мусоропроводов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</si>
  <si>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</si>
  <si>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</si>
  <si>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</si>
  <si>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Проведение 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</si>
  <si>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</si>
  <si>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</si>
  <si>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</si>
  <si>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Работы по обеспечению требований пожарной безопасности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</si>
  <si>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</si>
  <si>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</si>
  <si>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</si>
  <si>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(отчеты по управлению) - выполненные работы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</si>
  <si>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</si>
  <si>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</si>
  <si>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</si>
  <si>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</si>
  <si>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(отчеты по управлению) - коммунальные услуги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</si>
  <si>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</si>
  <si>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</si>
  <si>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</si>
  <si>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</si>
  <si>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</si>
  <si>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</si>
  <si>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(отчеты по управлению) - объемы по коммунальным услугам</t>
  </si>
  <si>
    <t>Электроснабжение (начислено потребителям)</t>
  </si>
  <si>
    <t>Холодное водоснабжение (начислено потребителям)</t>
  </si>
  <si>
    <t>Отопление (начислено потребителям)</t>
  </si>
  <si>
    <t>Горячее водоснабжение (начислено потребителям)</t>
  </si>
  <si>
    <t>Водоотведение (начислено потребителям)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</si>
  <si>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</si>
  <si>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</si>
  <si>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</si>
  <si>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(отчеты по управлению) претензионно-исковая работа</t>
  </si>
  <si>
    <t xml:space="preserve"> (отчеты по управлению) - общая информация</t>
  </si>
  <si>
    <t>(управление) - выполняемые работы (услуги)</t>
  </si>
  <si>
    <t>Общая задолженность по тепловой энергии, руб.</t>
  </si>
  <si>
    <t>Общая задолженность по тепловой энергии для нужд отопления, руб.</t>
  </si>
  <si>
    <t>Общая задолженность по тепловой энергии для нужд горячего водоснабжения, руб.</t>
  </si>
  <si>
    <t>Общая задолженность по горячей воде, руб.</t>
  </si>
  <si>
    <t>Общая задолженность по холодной воде, руб.</t>
  </si>
  <si>
    <t>Общая задолженность по водоотведению, руб.</t>
  </si>
  <si>
    <t>Общая задолженность по поставке газа, руб.</t>
  </si>
  <si>
    <t>Общая задолженность по электрической энергии, руб.</t>
  </si>
  <si>
    <t>Общая задолженность по прочим ресурсам (услугам), руб.</t>
  </si>
  <si>
    <t>Данные УК основные финансовые показатели</t>
  </si>
  <si>
    <t>Данные по МКД</t>
  </si>
  <si>
    <t>2015 г.</t>
  </si>
  <si>
    <t>Вав.6/1</t>
  </si>
  <si>
    <t>Вав.8/3</t>
  </si>
  <si>
    <t>Наука 4/1</t>
  </si>
  <si>
    <t>Наука 4/2</t>
  </si>
  <si>
    <t>ГУП ТЭК</t>
  </si>
  <si>
    <t>ВСЕГО</t>
  </si>
  <si>
    <t>ГУП Водоканал</t>
  </si>
  <si>
    <t>АО ПСК</t>
  </si>
  <si>
    <t>пропорционально начислению</t>
  </si>
  <si>
    <t>общее начисление жилищных услуг</t>
  </si>
  <si>
    <t>ЖУ</t>
  </si>
  <si>
    <t>Общий объем потребления,КВт.</t>
  </si>
  <si>
    <t>Общий объем потребления, м.3</t>
  </si>
  <si>
    <t>Общий объем потребления, Гкал.</t>
  </si>
  <si>
    <t>Данные по МКД-1</t>
  </si>
  <si>
    <t>Начислено потребителям, руб.</t>
  </si>
  <si>
    <t>суммы начислений</t>
  </si>
  <si>
    <t>Науки 15/1</t>
  </si>
  <si>
    <t>2016 г.</t>
  </si>
  <si>
    <t xml:space="preserve">* Вавиловых 6/1 кредиторская задолженность за 2014-2015 года </t>
  </si>
  <si>
    <t>Текущий ремонт</t>
  </si>
  <si>
    <t>Эксплуатация общедомовых ПУ</t>
  </si>
  <si>
    <t>Телеантенна</t>
  </si>
  <si>
    <t>Радио</t>
  </si>
  <si>
    <t>Содержание и ремонт ПЗУ</t>
  </si>
  <si>
    <t>Сведения о доходах, полученных за оказание услуг по управлению многоквартирными домами</t>
  </si>
  <si>
    <t>Сведения о расходах, понесенных в связи с оказанием услуг по управлению многоквартирными домами</t>
  </si>
  <si>
    <t>Общая задолженность управляющей организации (индивидуального предпринимателя) перед ресурсоснабжающими организациями на 01.01.2017:</t>
  </si>
  <si>
    <t>Задолженность перед поставщиком (поставщиками) коммунального ресурса на 01.01.2017,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</si>
</sst>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717171"/>
      <name val="Arial"/>
      <family val="2"/>
      <charset val="204"/>
    </font>
    <font>
      <sz val="12"/>
      <color rgb="FF71717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71717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Arial"/>
      <family val="2"/>
    </font>
    <font>
      <sz val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1" fillId="0" borderId="0"/>
  </cellStyleXfs>
  <cellXfs count="99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/>
    <xf numFmtId="0" fontId="5" fillId="0" borderId="0" xfId="0" applyFont="1"/>
    <xf numFmtId="0" fontId="12" fillId="0" borderId="0" xfId="0" applyFont="1"/>
    <xf numFmtId="4" fontId="12" fillId="0" borderId="0" xfId="0" applyNumberFormat="1" applyFont="1"/>
    <xf numFmtId="0" fontId="11" fillId="0" borderId="1" xfId="0" applyFont="1" applyBorder="1"/>
    <xf numFmtId="0" fontId="1" fillId="0" borderId="0" xfId="0" applyFont="1" applyBorder="1" applyAlignment="1">
      <alignment horizontal="center"/>
    </xf>
    <xf numFmtId="4" fontId="14" fillId="0" borderId="1" xfId="0" applyNumberFormat="1" applyFont="1" applyBorder="1"/>
    <xf numFmtId="4" fontId="14" fillId="0" borderId="4" xfId="0" applyNumberFormat="1" applyFont="1" applyBorder="1"/>
    <xf numFmtId="0" fontId="15" fillId="0" borderId="5" xfId="0" applyFont="1" applyBorder="1"/>
    <xf numFmtId="0" fontId="15" fillId="0" borderId="6" xfId="0" applyFont="1" applyBorder="1"/>
    <xf numFmtId="0" fontId="1" fillId="0" borderId="5" xfId="0" applyFont="1" applyBorder="1"/>
    <xf numFmtId="0" fontId="1" fillId="0" borderId="6" xfId="0" applyFont="1" applyBorder="1"/>
    <xf numFmtId="0" fontId="2" fillId="3" borderId="2" xfId="0" applyFont="1" applyFill="1" applyBorder="1" applyAlignment="1">
      <alignment vertical="center"/>
    </xf>
    <xf numFmtId="4" fontId="16" fillId="0" borderId="1" xfId="0" applyNumberFormat="1" applyFont="1" applyBorder="1"/>
    <xf numFmtId="0" fontId="1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 indent="1"/>
    </xf>
    <xf numFmtId="0" fontId="0" fillId="0" borderId="1" xfId="0" applyFill="1" applyBorder="1"/>
    <xf numFmtId="4" fontId="0" fillId="0" borderId="0" xfId="0" applyNumberFormat="1"/>
    <xf numFmtId="4" fontId="13" fillId="2" borderId="1" xfId="0" applyNumberFormat="1" applyFont="1" applyFill="1" applyBorder="1" applyAlignment="1">
      <alignment horizontal="right" vertical="center" wrapText="1" indent="1"/>
    </xf>
    <xf numFmtId="4" fontId="8" fillId="2" borderId="1" xfId="0" applyNumberFormat="1" applyFont="1" applyFill="1" applyBorder="1" applyAlignment="1">
      <alignment horizontal="right" vertical="center" wrapText="1" indent="1"/>
    </xf>
    <xf numFmtId="4" fontId="19" fillId="0" borderId="1" xfId="0" applyNumberFormat="1" applyFont="1" applyFill="1" applyBorder="1" applyAlignment="1">
      <alignment horizontal="right" vertical="center" wrapText="1" indent="1"/>
    </xf>
    <xf numFmtId="0" fontId="14" fillId="0" borderId="0" xfId="0" applyFont="1"/>
    <xf numFmtId="3" fontId="18" fillId="2" borderId="1" xfId="0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4" fontId="15" fillId="0" borderId="7" xfId="0" applyNumberFormat="1" applyFont="1" applyBorder="1"/>
    <xf numFmtId="4" fontId="15" fillId="0" borderId="8" xfId="0" applyNumberFormat="1" applyFont="1" applyBorder="1"/>
    <xf numFmtId="4" fontId="15" fillId="0" borderId="2" xfId="0" applyNumberFormat="1" applyFont="1" applyBorder="1"/>
    <xf numFmtId="4" fontId="15" fillId="0" borderId="2" xfId="0" applyNumberFormat="1" applyFont="1" applyFill="1" applyBorder="1"/>
    <xf numFmtId="4" fontId="1" fillId="0" borderId="0" xfId="0" applyNumberFormat="1" applyFont="1" applyAlignment="1">
      <alignment horizontal="right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0" fillId="0" borderId="1" xfId="0" applyNumberFormat="1" applyBorder="1"/>
    <xf numFmtId="0" fontId="2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0" xfId="0" applyFill="1"/>
    <xf numFmtId="4" fontId="22" fillId="4" borderId="9" xfId="1" applyNumberFormat="1" applyFont="1" applyFill="1" applyBorder="1" applyAlignment="1">
      <alignment horizontal="center" vertical="top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" fontId="24" fillId="2" borderId="1" xfId="0" applyNumberFormat="1" applyFont="1" applyFill="1" applyBorder="1" applyAlignment="1">
      <alignment vertical="center" wrapText="1"/>
    </xf>
    <xf numFmtId="4" fontId="2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4" fontId="9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/>
    <xf numFmtId="4" fontId="9" fillId="4" borderId="1" xfId="0" applyNumberFormat="1" applyFont="1" applyFill="1" applyBorder="1"/>
    <xf numFmtId="4" fontId="7" fillId="4" borderId="2" xfId="0" applyNumberFormat="1" applyFont="1" applyFill="1" applyBorder="1"/>
    <xf numFmtId="0" fontId="7" fillId="4" borderId="0" xfId="0" applyFont="1" applyFill="1"/>
    <xf numFmtId="0" fontId="13" fillId="4" borderId="1" xfId="0" applyFont="1" applyFill="1" applyBorder="1" applyAlignment="1">
      <alignment horizontal="left" vertical="center"/>
    </xf>
    <xf numFmtId="4" fontId="10" fillId="4" borderId="1" xfId="0" applyNumberFormat="1" applyFont="1" applyFill="1" applyBorder="1"/>
    <xf numFmtId="4" fontId="10" fillId="4" borderId="2" xfId="0" applyNumberFormat="1" applyFont="1" applyFill="1" applyBorder="1"/>
    <xf numFmtId="4" fontId="8" fillId="4" borderId="0" xfId="0" applyNumberFormat="1" applyFont="1" applyFill="1"/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26" fillId="4" borderId="0" xfId="0" applyFont="1" applyFill="1"/>
    <xf numFmtId="0" fontId="7" fillId="4" borderId="0" xfId="0" applyFont="1" applyFill="1" applyAlignment="1"/>
    <xf numFmtId="0" fontId="7" fillId="4" borderId="1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8" fillId="4" borderId="0" xfId="0" applyFont="1" applyFill="1" applyAlignment="1"/>
    <xf numFmtId="0" fontId="26" fillId="4" borderId="1" xfId="0" applyFont="1" applyFill="1" applyBorder="1"/>
    <xf numFmtId="0" fontId="8" fillId="4" borderId="1" xfId="0" applyFont="1" applyFill="1" applyBorder="1" applyAlignment="1"/>
    <xf numFmtId="4" fontId="9" fillId="4" borderId="0" xfId="0" applyNumberFormat="1" applyFont="1" applyFill="1"/>
    <xf numFmtId="0" fontId="8" fillId="4" borderId="1" xfId="0" applyFont="1" applyFill="1" applyBorder="1"/>
    <xf numFmtId="4" fontId="8" fillId="4" borderId="1" xfId="0" applyNumberFormat="1" applyFont="1" applyFill="1" applyBorder="1"/>
    <xf numFmtId="0" fontId="23" fillId="4" borderId="0" xfId="0" applyFont="1" applyFill="1"/>
    <xf numFmtId="4" fontId="23" fillId="0" borderId="0" xfId="0" applyNumberFormat="1" applyFont="1"/>
    <xf numFmtId="0" fontId="23" fillId="0" borderId="0" xfId="0" applyFont="1" applyBorder="1"/>
    <xf numFmtId="4" fontId="23" fillId="0" borderId="0" xfId="0" applyNumberFormat="1" applyFont="1" applyBorder="1"/>
    <xf numFmtId="0" fontId="1" fillId="0" borderId="6" xfId="0" applyFont="1" applyBorder="1" applyAlignment="1">
      <alignment horizontal="center" vertical="center"/>
    </xf>
    <xf numFmtId="4" fontId="15" fillId="0" borderId="6" xfId="0" applyNumberFormat="1" applyFont="1" applyBorder="1"/>
    <xf numFmtId="4" fontId="23" fillId="4" borderId="0" xfId="0" applyNumberFormat="1" applyFont="1" applyFill="1"/>
    <xf numFmtId="3" fontId="23" fillId="0" borderId="0" xfId="0" applyNumberFormat="1" applyFont="1"/>
    <xf numFmtId="0" fontId="23" fillId="0" borderId="0" xfId="0" applyFont="1"/>
  </cellXfs>
  <cellStyles count="2">
    <cellStyle name="Обычный" xfId="0" builtinId="0"/>
    <cellStyle name="Обычный_Данные по У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10" sqref="A10"/>
    </sheetView>
  </sheetViews>
  <sheetFormatPr defaultRowHeight="15" x14ac:dyDescent="0.25"/>
  <cols>
    <col min="1" max="1" width="81.7109375" customWidth="1"/>
    <col min="2" max="2" width="13.7109375" customWidth="1"/>
    <col min="3" max="6" width="13.28515625" customWidth="1"/>
    <col min="7" max="7" width="12.85546875" style="8" customWidth="1"/>
    <col min="8" max="8" width="15.42578125" hidden="1" customWidth="1"/>
    <col min="9" max="9" width="0" hidden="1" customWidth="1"/>
    <col min="10" max="10" width="12.5703125" hidden="1" customWidth="1"/>
    <col min="11" max="13" width="12.5703125" customWidth="1"/>
  </cols>
  <sheetData>
    <row r="1" spans="1:11" x14ac:dyDescent="0.25">
      <c r="B1" s="46" t="s">
        <v>82</v>
      </c>
      <c r="C1" s="46"/>
      <c r="D1" s="46"/>
      <c r="E1" s="46"/>
      <c r="F1" s="26"/>
    </row>
    <row r="2" spans="1:11" x14ac:dyDescent="0.25">
      <c r="A2" s="11" t="s">
        <v>61</v>
      </c>
      <c r="B2" s="56" t="s">
        <v>64</v>
      </c>
      <c r="C2" s="56" t="s">
        <v>65</v>
      </c>
      <c r="D2" s="56" t="s">
        <v>66</v>
      </c>
      <c r="E2" s="56" t="s">
        <v>67</v>
      </c>
      <c r="F2" s="56" t="s">
        <v>81</v>
      </c>
      <c r="G2" s="57" t="s">
        <v>69</v>
      </c>
      <c r="H2" s="6"/>
    </row>
    <row r="3" spans="1:11" ht="32.25" customHeight="1" x14ac:dyDescent="0.25">
      <c r="A3" s="58" t="s">
        <v>89</v>
      </c>
      <c r="B3" s="59">
        <f>'Данные по МКД-6'!F23</f>
        <v>325333.16000000003</v>
      </c>
      <c r="C3" s="59">
        <f>'Данные по МКД-6'!G23</f>
        <v>3720263.89</v>
      </c>
      <c r="D3" s="59">
        <f>'Данные по МКД-6'!H23</f>
        <v>4688206.12</v>
      </c>
      <c r="E3" s="59">
        <f>'Данные по МКД-6'!I23</f>
        <v>1239522.54</v>
      </c>
      <c r="F3" s="59">
        <f>'Данные по МКД-6'!J23</f>
        <v>1997261.0499999998</v>
      </c>
      <c r="G3" s="60">
        <f>SUM(B3:F3)</f>
        <v>11970586.760000002</v>
      </c>
      <c r="H3" s="16" t="s">
        <v>74</v>
      </c>
      <c r="I3" s="13" t="s">
        <v>73</v>
      </c>
    </row>
    <row r="4" spans="1:11" ht="28.5" x14ac:dyDescent="0.25">
      <c r="A4" s="58" t="s">
        <v>90</v>
      </c>
      <c r="B4" s="59">
        <f>B3</f>
        <v>325333.16000000003</v>
      </c>
      <c r="C4" s="59">
        <f>C3</f>
        <v>3720263.89</v>
      </c>
      <c r="D4" s="59">
        <f>D3</f>
        <v>4688206.12</v>
      </c>
      <c r="E4" s="59">
        <f>E3</f>
        <v>1239522.54</v>
      </c>
      <c r="F4" s="59">
        <f>F3</f>
        <v>1997261.0499999998</v>
      </c>
      <c r="G4" s="60">
        <f>SUM(B4:F4)</f>
        <v>11970586.760000002</v>
      </c>
      <c r="H4" s="16" t="s">
        <v>74</v>
      </c>
      <c r="I4" s="13" t="s">
        <v>73</v>
      </c>
    </row>
    <row r="5" spans="1:11" ht="45" x14ac:dyDescent="0.25">
      <c r="A5" s="61" t="s">
        <v>91</v>
      </c>
      <c r="B5" s="60">
        <f t="shared" ref="B5:G5" si="0">SUM(B6:B14)</f>
        <v>476171.55218621786</v>
      </c>
      <c r="C5" s="60">
        <f t="shared" si="0"/>
        <v>1193201.7127283607</v>
      </c>
      <c r="D5" s="60">
        <f t="shared" si="0"/>
        <v>1614074.1422034465</v>
      </c>
      <c r="E5" s="60">
        <f t="shared" si="0"/>
        <v>1859678.4059178834</v>
      </c>
      <c r="F5" s="60">
        <f t="shared" si="0"/>
        <v>1627573.3769640918</v>
      </c>
      <c r="G5" s="60">
        <f t="shared" si="0"/>
        <v>6770699.1900000004</v>
      </c>
      <c r="H5" s="6"/>
    </row>
    <row r="6" spans="1:11" s="51" customFormat="1" x14ac:dyDescent="0.25">
      <c r="A6" s="62" t="s">
        <v>52</v>
      </c>
      <c r="B6" s="63">
        <f>108524.68+190871.08</f>
        <v>299395.76</v>
      </c>
      <c r="C6" s="63">
        <f>286825.64+514012.18</f>
        <v>800837.82000000007</v>
      </c>
      <c r="D6" s="63">
        <f>439224.06+742220.54</f>
        <v>1181444.6000000001</v>
      </c>
      <c r="E6" s="63">
        <f>77440.55+152008.76+159372.65+105913.34+185534.86</f>
        <v>680270.15999999992</v>
      </c>
      <c r="F6" s="63">
        <f>252002.37+252002.37</f>
        <v>504004.74</v>
      </c>
      <c r="G6" s="64">
        <f>B6+C6+D6+E6+F6</f>
        <v>3465953.08</v>
      </c>
      <c r="H6" s="50" t="s">
        <v>68</v>
      </c>
    </row>
    <row r="7" spans="1:11" s="51" customFormat="1" x14ac:dyDescent="0.25">
      <c r="A7" s="62" t="s">
        <v>53</v>
      </c>
      <c r="B7" s="63"/>
      <c r="C7" s="63"/>
      <c r="D7" s="63"/>
      <c r="E7" s="63"/>
      <c r="F7" s="63"/>
      <c r="G7" s="64">
        <f t="shared" ref="G7:G14" si="1">B7+C7+D7+E7+F7</f>
        <v>0</v>
      </c>
      <c r="H7" s="50"/>
    </row>
    <row r="8" spans="1:11" s="51" customFormat="1" ht="15" customHeight="1" x14ac:dyDescent="0.25">
      <c r="A8" s="62" t="s">
        <v>54</v>
      </c>
      <c r="B8" s="63"/>
      <c r="C8" s="63"/>
      <c r="D8" s="63"/>
      <c r="E8" s="63"/>
      <c r="F8" s="63"/>
      <c r="G8" s="64">
        <f t="shared" si="1"/>
        <v>0</v>
      </c>
      <c r="H8" s="50"/>
    </row>
    <row r="9" spans="1:11" s="51" customFormat="1" x14ac:dyDescent="0.25">
      <c r="A9" s="62" t="s">
        <v>55</v>
      </c>
      <c r="B9" s="63">
        <f>40727.16+41148.87</f>
        <v>81876.03</v>
      </c>
      <c r="C9" s="63">
        <f>123543.93+127047.34</f>
        <v>250591.27</v>
      </c>
      <c r="D9" s="63">
        <f>167206.83+167888.04</f>
        <v>335094.87</v>
      </c>
      <c r="E9" s="63">
        <f>37959.95+44380.48+45478.72+50998.13+48285.45+51788.86</f>
        <v>278891.58999999997</v>
      </c>
      <c r="F9" s="63">
        <f>465166.92</f>
        <v>465166.92</v>
      </c>
      <c r="G9" s="64">
        <f t="shared" si="1"/>
        <v>1411620.68</v>
      </c>
      <c r="H9" s="50"/>
    </row>
    <row r="10" spans="1:11" s="51" customFormat="1" x14ac:dyDescent="0.25">
      <c r="A10" s="62" t="s">
        <v>56</v>
      </c>
      <c r="B10" s="63">
        <v>0</v>
      </c>
      <c r="C10" s="63">
        <v>0</v>
      </c>
      <c r="D10" s="63">
        <v>0</v>
      </c>
      <c r="E10" s="63">
        <v>0</v>
      </c>
      <c r="F10" s="63">
        <v>246825.73</v>
      </c>
      <c r="G10" s="64">
        <f t="shared" si="1"/>
        <v>246825.73</v>
      </c>
      <c r="H10" s="50" t="s">
        <v>70</v>
      </c>
    </row>
    <row r="11" spans="1:11" s="51" customFormat="1" x14ac:dyDescent="0.25">
      <c r="A11" s="62" t="s">
        <v>57</v>
      </c>
      <c r="B11" s="63">
        <v>0</v>
      </c>
      <c r="C11" s="63">
        <v>0</v>
      </c>
      <c r="D11" s="63">
        <v>0</v>
      </c>
      <c r="E11" s="63">
        <v>872750.44</v>
      </c>
      <c r="F11" s="52">
        <v>376069.94</v>
      </c>
      <c r="G11" s="64">
        <f t="shared" si="1"/>
        <v>1248820.3799999999</v>
      </c>
      <c r="H11" s="50" t="s">
        <v>70</v>
      </c>
    </row>
    <row r="12" spans="1:11" s="51" customFormat="1" x14ac:dyDescent="0.25">
      <c r="A12" s="62" t="s">
        <v>58</v>
      </c>
      <c r="B12" s="63"/>
      <c r="C12" s="63"/>
      <c r="D12" s="63"/>
      <c r="E12" s="63"/>
      <c r="F12" s="63"/>
      <c r="G12" s="64">
        <f t="shared" si="1"/>
        <v>0</v>
      </c>
      <c r="H12" s="50"/>
    </row>
    <row r="13" spans="1:11" s="51" customFormat="1" x14ac:dyDescent="0.25">
      <c r="A13" s="62" t="s">
        <v>59</v>
      </c>
      <c r="B13" s="53">
        <f>G13*('Данные по МКД-4'!B13*100/'Данные по МКД-4'!$G$13)/100</f>
        <v>94899.762186217849</v>
      </c>
      <c r="C13" s="53">
        <f>$G$13*('Данные по МКД-4'!C13*100/'Данные по МКД-4'!$G$13)/100</f>
        <v>141772.62272836047</v>
      </c>
      <c r="D13" s="53">
        <f>$G$13*('Данные по МКД-4'!D13*100/'Данные по МКД-4'!$G$13)/100</f>
        <v>97534.672203446156</v>
      </c>
      <c r="E13" s="53">
        <f>$G$13*('Данные по МКД-4'!E13*100/'Данные по МКД-4'!$G$13)/100</f>
        <v>27766.21591788351</v>
      </c>
      <c r="F13" s="53">
        <f>$G$13*('Данные по МКД-4'!F13*100/'Данные по МКД-4'!$G$13)/100</f>
        <v>35506.046964091969</v>
      </c>
      <c r="G13" s="54">
        <v>397479.32</v>
      </c>
      <c r="H13" s="50" t="s">
        <v>71</v>
      </c>
      <c r="I13" s="55" t="s">
        <v>72</v>
      </c>
      <c r="K13" s="55"/>
    </row>
    <row r="14" spans="1:11" x14ac:dyDescent="0.25">
      <c r="A14" s="65" t="s">
        <v>60</v>
      </c>
      <c r="B14" s="66"/>
      <c r="C14" s="66"/>
      <c r="D14" s="66"/>
      <c r="E14" s="66"/>
      <c r="F14" s="66"/>
      <c r="G14" s="67">
        <f t="shared" si="1"/>
        <v>0</v>
      </c>
      <c r="H14" s="9"/>
    </row>
    <row r="16" spans="1:11" hidden="1" x14ac:dyDescent="0.25">
      <c r="B16" s="29">
        <f t="shared" ref="B16:G16" si="2">B6+B7+B8+B9+B10+B11+B12+B14+B13</f>
        <v>476171.55218621786</v>
      </c>
      <c r="C16" s="29">
        <f t="shared" si="2"/>
        <v>1193201.7127283607</v>
      </c>
      <c r="D16" s="29">
        <f t="shared" si="2"/>
        <v>1614074.1422034465</v>
      </c>
      <c r="E16" s="29">
        <f t="shared" si="2"/>
        <v>1859678.4059178834</v>
      </c>
      <c r="F16" s="29">
        <f t="shared" si="2"/>
        <v>1627573.3769640918</v>
      </c>
      <c r="G16" s="29">
        <f t="shared" si="2"/>
        <v>6770699.1900000004</v>
      </c>
    </row>
    <row r="19" spans="7:7" x14ac:dyDescent="0.3">
      <c r="G19" s="4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86" sqref="A86"/>
    </sheetView>
  </sheetViews>
  <sheetFormatPr defaultRowHeight="15" x14ac:dyDescent="0.25"/>
  <cols>
    <col min="1" max="1" width="97.85546875" style="12" bestFit="1" customWidth="1"/>
    <col min="2" max="5" width="13.5703125" customWidth="1"/>
    <col min="6" max="6" width="13.5703125" style="3" customWidth="1"/>
    <col min="7" max="7" width="12.7109375" style="14" customWidth="1"/>
    <col min="8" max="8" width="10.5703125" bestFit="1" customWidth="1"/>
  </cols>
  <sheetData>
    <row r="1" spans="1:8" s="78" customFormat="1" x14ac:dyDescent="0.25">
      <c r="A1" s="79" t="s">
        <v>62</v>
      </c>
      <c r="F1" s="73"/>
      <c r="G1" s="80"/>
    </row>
    <row r="2" spans="1:8" s="78" customFormat="1" x14ac:dyDescent="0.25">
      <c r="A2" s="81" t="s">
        <v>40</v>
      </c>
      <c r="B2" s="82" t="s">
        <v>64</v>
      </c>
      <c r="C2" s="82" t="s">
        <v>65</v>
      </c>
      <c r="D2" s="82" t="s">
        <v>66</v>
      </c>
      <c r="E2" s="82" t="s">
        <v>67</v>
      </c>
      <c r="F2" s="83" t="s">
        <v>81</v>
      </c>
      <c r="G2" s="68" t="s">
        <v>69</v>
      </c>
    </row>
    <row r="3" spans="1:8" s="78" customFormat="1" ht="6.6" customHeight="1" x14ac:dyDescent="0.25">
      <c r="A3" s="84"/>
      <c r="F3" s="73"/>
      <c r="G3" s="85"/>
    </row>
    <row r="4" spans="1:8" s="73" customFormat="1" x14ac:dyDescent="0.25">
      <c r="A4" s="69" t="s">
        <v>41</v>
      </c>
      <c r="B4" s="70"/>
      <c r="C4" s="71"/>
      <c r="D4" s="70"/>
      <c r="E4" s="70"/>
      <c r="F4" s="72"/>
      <c r="G4" s="68"/>
    </row>
    <row r="5" spans="1:8" s="73" customFormat="1" x14ac:dyDescent="0.25">
      <c r="A5" s="74" t="s">
        <v>79</v>
      </c>
      <c r="B5" s="71">
        <f>68019.82+40845.31+21410.7+12755.16</f>
        <v>143030.99</v>
      </c>
      <c r="C5" s="71">
        <f>96712.88+70261.71+27503.91+19377.69</f>
        <v>213856.19000000003</v>
      </c>
      <c r="D5" s="71">
        <f>-89.47+61887.47+42658.59-36.62+25709+16983.16</f>
        <v>147112.13</v>
      </c>
      <c r="E5" s="71">
        <f>18799.18+13376.19+5816.72+4767.27</f>
        <v>42759.360000000001</v>
      </c>
      <c r="F5" s="76">
        <v>54188.3</v>
      </c>
      <c r="G5" s="75">
        <f>B5+C5+D5+E5+F5</f>
        <v>600946.97000000009</v>
      </c>
    </row>
    <row r="6" spans="1:8" s="73" customFormat="1" x14ac:dyDescent="0.25">
      <c r="A6" s="69"/>
      <c r="B6" s="75"/>
      <c r="C6" s="71"/>
      <c r="D6" s="75"/>
      <c r="E6" s="75"/>
      <c r="F6" s="76"/>
      <c r="G6" s="75">
        <f t="shared" ref="G6:G69" si="0">B6+C6+D6+E6+F6</f>
        <v>0</v>
      </c>
    </row>
    <row r="7" spans="1:8" s="78" customFormat="1" x14ac:dyDescent="0.25">
      <c r="A7" s="74" t="s">
        <v>75</v>
      </c>
      <c r="B7" s="71">
        <f>68019.82/3.91+40845.31/4.29+21410.7/2.3+12755.16/2.47</f>
        <v>41390.457072249781</v>
      </c>
      <c r="C7" s="71">
        <f>96712.88/3.91+70261.71/4.29+27503.91/2.3+19377.69/2.47</f>
        <v>60916.213259791759</v>
      </c>
      <c r="D7" s="71">
        <f>-89.47/3.91+61887.47/3.91+42658.59/4.29-36.62/2.3+25709/2.3+16983.16/2.47</f>
        <v>43786.519989419656</v>
      </c>
      <c r="E7" s="71">
        <f>18799.18/3.91+13376.19/4.29+5816.72/2.3+4767.27/2.47</f>
        <v>12385.044953108543</v>
      </c>
      <c r="F7" s="76">
        <v>20478.330000000002</v>
      </c>
      <c r="G7" s="75">
        <f t="shared" si="0"/>
        <v>178956.56527456973</v>
      </c>
    </row>
    <row r="8" spans="1:8" s="78" customFormat="1" x14ac:dyDescent="0.25">
      <c r="A8" s="74"/>
      <c r="B8" s="71"/>
      <c r="C8" s="71"/>
      <c r="D8" s="71"/>
      <c r="E8" s="71"/>
      <c r="F8" s="71"/>
      <c r="G8" s="75">
        <f t="shared" si="0"/>
        <v>0</v>
      </c>
    </row>
    <row r="9" spans="1:8" s="78" customFormat="1" x14ac:dyDescent="0.25">
      <c r="A9" s="74" t="s">
        <v>34</v>
      </c>
      <c r="B9" s="71">
        <f>64293.79+38607.86+20237.85+12056.45</f>
        <v>135195.95000000001</v>
      </c>
      <c r="C9" s="71">
        <f>86985.33+63194.73+24737.52+17428.65</f>
        <v>192346.22999999998</v>
      </c>
      <c r="D9" s="71">
        <f>-84.75+58623.87+40409.01-34.69+24353.25+16087.56</f>
        <v>139354.25</v>
      </c>
      <c r="E9" s="71">
        <f>16443.27+11699.89+5087.77+4169.84</f>
        <v>37400.770000000004</v>
      </c>
      <c r="F9" s="76">
        <v>43324.4</v>
      </c>
      <c r="G9" s="75">
        <f t="shared" si="0"/>
        <v>547621.6</v>
      </c>
    </row>
    <row r="10" spans="1:8" s="78" customFormat="1" x14ac:dyDescent="0.25">
      <c r="A10" s="74"/>
      <c r="B10" s="71"/>
      <c r="C10" s="71"/>
      <c r="D10" s="71"/>
      <c r="E10" s="71"/>
      <c r="F10" s="76"/>
      <c r="G10" s="75">
        <f t="shared" si="0"/>
        <v>0</v>
      </c>
    </row>
    <row r="11" spans="1:8" s="78" customFormat="1" x14ac:dyDescent="0.25">
      <c r="A11" s="74" t="s">
        <v>35</v>
      </c>
      <c r="B11" s="71">
        <f>24035.27+14432.97+7565.62+4507.12-43.93-73.74-140.68-234.28</f>
        <v>50048.350000000006</v>
      </c>
      <c r="C11" s="71">
        <f>45963.54-146.8+33392.42-106.65+13071.45-41.75+9209.4-29.41</f>
        <v>101312.2</v>
      </c>
      <c r="D11" s="71">
        <f>-51.77+0.8+35812.59-552.77+24685.36-381.02-21.19+0.33+14877.1-229.63+9827.69-151.69</f>
        <v>83815.8</v>
      </c>
      <c r="E11" s="71">
        <f>10222.9+7273.9+3163.1+2592.42-0.12-0.14-0.33-0.46</f>
        <v>23251.27</v>
      </c>
      <c r="F11" s="76">
        <v>10863.89</v>
      </c>
      <c r="G11" s="75">
        <f t="shared" si="0"/>
        <v>269291.50999999995</v>
      </c>
    </row>
    <row r="12" spans="1:8" s="78" customFormat="1" x14ac:dyDescent="0.25">
      <c r="A12" s="74"/>
      <c r="B12" s="71"/>
      <c r="C12" s="71"/>
      <c r="D12" s="71"/>
      <c r="E12" s="71"/>
      <c r="F12" s="76"/>
      <c r="G12" s="75">
        <f t="shared" si="0"/>
        <v>0</v>
      </c>
    </row>
    <row r="13" spans="1:8" s="78" customFormat="1" x14ac:dyDescent="0.25">
      <c r="A13" s="74" t="s">
        <v>36</v>
      </c>
      <c r="B13" s="71">
        <v>143138.94</v>
      </c>
      <c r="C13" s="71">
        <v>213838.07999999999</v>
      </c>
      <c r="D13" s="71">
        <v>147113.22</v>
      </c>
      <c r="E13" s="71">
        <v>41880.26</v>
      </c>
      <c r="F13" s="71">
        <v>53554.38</v>
      </c>
      <c r="G13" s="75">
        <f t="shared" si="0"/>
        <v>599524.88</v>
      </c>
      <c r="H13" s="77"/>
    </row>
    <row r="14" spans="1:8" s="78" customFormat="1" x14ac:dyDescent="0.25">
      <c r="A14" s="74"/>
      <c r="B14" s="71"/>
      <c r="C14" s="71"/>
      <c r="D14" s="71"/>
      <c r="E14" s="71"/>
      <c r="F14" s="76"/>
      <c r="G14" s="75">
        <f t="shared" si="0"/>
        <v>0</v>
      </c>
    </row>
    <row r="15" spans="1:8" s="78" customFormat="1" x14ac:dyDescent="0.25">
      <c r="A15" s="74" t="s">
        <v>37</v>
      </c>
      <c r="B15" s="71">
        <f>B13-B17</f>
        <v>48239.177813782153</v>
      </c>
      <c r="C15" s="71">
        <f>C13-C17</f>
        <v>72065.45727163952</v>
      </c>
      <c r="D15" s="71">
        <f>D13-D17</f>
        <v>49578.547796553845</v>
      </c>
      <c r="E15" s="71">
        <f>E13-E17</f>
        <v>14114.044082116492</v>
      </c>
      <c r="F15" s="71">
        <f>F13-F17</f>
        <v>18048.333035908028</v>
      </c>
      <c r="G15" s="75">
        <f t="shared" si="0"/>
        <v>202045.56000000003</v>
      </c>
    </row>
    <row r="16" spans="1:8" s="78" customFormat="1" x14ac:dyDescent="0.25">
      <c r="A16" s="74"/>
      <c r="B16" s="71"/>
      <c r="C16" s="71"/>
      <c r="D16" s="71"/>
      <c r="E16" s="71"/>
      <c r="F16" s="76"/>
      <c r="G16" s="75">
        <f t="shared" si="0"/>
        <v>0</v>
      </c>
    </row>
    <row r="17" spans="1:8" s="78" customFormat="1" x14ac:dyDescent="0.25">
      <c r="A17" s="74" t="s">
        <v>92</v>
      </c>
      <c r="B17" s="71">
        <f>'Данные по УК'!B13</f>
        <v>94899.762186217849</v>
      </c>
      <c r="C17" s="71">
        <f>'Данные по УК'!C13</f>
        <v>141772.62272836047</v>
      </c>
      <c r="D17" s="71">
        <f>'Данные по УК'!D13</f>
        <v>97534.672203446156</v>
      </c>
      <c r="E17" s="71">
        <f>'Данные по УК'!E13</f>
        <v>27766.21591788351</v>
      </c>
      <c r="F17" s="71">
        <f>'Данные по УК'!F13</f>
        <v>35506.046964091969</v>
      </c>
      <c r="G17" s="75">
        <f t="shared" si="0"/>
        <v>397479.31999999989</v>
      </c>
    </row>
    <row r="18" spans="1:8" s="78" customFormat="1" x14ac:dyDescent="0.25">
      <c r="A18" s="74"/>
      <c r="B18" s="71"/>
      <c r="C18" s="71"/>
      <c r="D18" s="71"/>
      <c r="E18" s="71"/>
      <c r="F18" s="76"/>
      <c r="G18" s="75">
        <f t="shared" si="0"/>
        <v>0</v>
      </c>
    </row>
    <row r="19" spans="1:8" s="78" customFormat="1" x14ac:dyDescent="0.25">
      <c r="A19" s="74" t="s">
        <v>39</v>
      </c>
      <c r="B19" s="71"/>
      <c r="C19" s="71"/>
      <c r="D19" s="71"/>
      <c r="E19" s="71"/>
      <c r="F19" s="76"/>
      <c r="G19" s="75">
        <f t="shared" si="0"/>
        <v>0</v>
      </c>
    </row>
    <row r="20" spans="1:8" s="78" customFormat="1" x14ac:dyDescent="0.25">
      <c r="A20" s="74"/>
      <c r="B20" s="71"/>
      <c r="C20" s="71"/>
      <c r="D20" s="71"/>
      <c r="E20" s="71"/>
      <c r="F20" s="76"/>
      <c r="G20" s="75">
        <f t="shared" si="0"/>
        <v>0</v>
      </c>
    </row>
    <row r="21" spans="1:8" s="73" customFormat="1" x14ac:dyDescent="0.25">
      <c r="A21" s="69" t="s">
        <v>42</v>
      </c>
      <c r="B21" s="75"/>
      <c r="C21" s="71"/>
      <c r="D21" s="75"/>
      <c r="E21" s="75"/>
      <c r="F21" s="76"/>
      <c r="G21" s="75">
        <f t="shared" si="0"/>
        <v>0</v>
      </c>
    </row>
    <row r="22" spans="1:8" s="73" customFormat="1" x14ac:dyDescent="0.25">
      <c r="A22" s="74" t="s">
        <v>79</v>
      </c>
      <c r="B22" s="71">
        <f>81816.47+70407.97+6358.7+7688.88</f>
        <v>166272.02000000002</v>
      </c>
      <c r="C22" s="71">
        <f>215960.27+192433.38+11028.72+13141.74</f>
        <v>432564.11</v>
      </c>
      <c r="D22" s="71">
        <f>-860.02+349840.38+276463.94-28.81+13011.64+15534.37</f>
        <v>653961.5</v>
      </c>
      <c r="E22" s="71">
        <f>90980.51+82382.33+3217.56+3834.06</f>
        <v>180414.46</v>
      </c>
      <c r="F22" s="76">
        <v>176951.75</v>
      </c>
      <c r="G22" s="75">
        <f t="shared" si="0"/>
        <v>1610163.8399999999</v>
      </c>
    </row>
    <row r="23" spans="1:8" s="73" customFormat="1" x14ac:dyDescent="0.3">
      <c r="A23" s="69"/>
      <c r="B23" s="75"/>
      <c r="C23" s="71"/>
      <c r="D23" s="75"/>
      <c r="E23" s="75"/>
      <c r="F23" s="76"/>
      <c r="G23" s="75">
        <f t="shared" si="0"/>
        <v>0</v>
      </c>
    </row>
    <row r="24" spans="1:8" s="78" customFormat="1" x14ac:dyDescent="0.25">
      <c r="A24" s="74" t="s">
        <v>76</v>
      </c>
      <c r="B24" s="71">
        <f>81816.47/23.13+70407.97/25.44+6358.7/23.13+7688.88/25.44</f>
        <v>6882.0008070667036</v>
      </c>
      <c r="C24" s="71">
        <f>215960.27/23.13+192433.38/25.44+11028.72/23.13+13141.74/25.44</f>
        <v>17894.40126357177</v>
      </c>
      <c r="D24" s="71">
        <f>-860.02/23.13+349840.38/23.13+276463.94/25.44-28.81/23.13+13011.64/23.13+15534.37/25.44</f>
        <v>27126.999676255618</v>
      </c>
      <c r="E24" s="71">
        <f>90980.51/23.13+82382.33/25.44+3217.56/23.13+3834.06/25.44</f>
        <v>7461.5585436907068</v>
      </c>
      <c r="F24" s="76">
        <v>7062.21</v>
      </c>
      <c r="G24" s="75">
        <f t="shared" si="0"/>
        <v>66427.170290584792</v>
      </c>
    </row>
    <row r="25" spans="1:8" s="78" customFormat="1" x14ac:dyDescent="0.25">
      <c r="A25" s="74"/>
      <c r="B25" s="71"/>
      <c r="C25" s="71"/>
      <c r="D25" s="71"/>
      <c r="E25" s="71"/>
      <c r="F25" s="76"/>
      <c r="G25" s="75">
        <f t="shared" si="0"/>
        <v>0</v>
      </c>
    </row>
    <row r="26" spans="1:8" s="78" customFormat="1" x14ac:dyDescent="0.25">
      <c r="A26" s="74" t="s">
        <v>34</v>
      </c>
      <c r="B26" s="71">
        <f>77334.67+66551.12+6010.38+7267.69</f>
        <v>157163.85999999999</v>
      </c>
      <c r="C26" s="71">
        <f>194238.62+173078.08+9919.43+11819.92</f>
        <v>389056.04999999993</v>
      </c>
      <c r="D26" s="71">
        <f>-814.67+331391.76+261884.78-27.29+12325.48+14715.17</f>
        <v>619475.23</v>
      </c>
      <c r="E26" s="71">
        <f>79578.83+72058.17+2814.34+3353.58</f>
        <v>157804.91999999998</v>
      </c>
      <c r="F26" s="76">
        <v>141475.72</v>
      </c>
      <c r="G26" s="75">
        <f t="shared" si="0"/>
        <v>1464975.7799999998</v>
      </c>
    </row>
    <row r="27" spans="1:8" s="78" customFormat="1" x14ac:dyDescent="0.25">
      <c r="A27" s="74"/>
      <c r="B27" s="71"/>
      <c r="C27" s="71"/>
      <c r="D27" s="71"/>
      <c r="E27" s="71"/>
      <c r="F27" s="76"/>
      <c r="G27" s="75">
        <f t="shared" si="0"/>
        <v>0</v>
      </c>
    </row>
    <row r="28" spans="1:8" s="78" customFormat="1" x14ac:dyDescent="0.25">
      <c r="A28" s="74" t="s">
        <v>35</v>
      </c>
      <c r="B28" s="71">
        <f>28910.41-281.8+24879.14-242.5+2246.89-21.9+2716.92-26.48</f>
        <v>58180.679999999993</v>
      </c>
      <c r="C28" s="71">
        <f>102636.79-327.81+91455.45-292.1+5241.48-16.74+6245.71-19.95</f>
        <v>204922.83</v>
      </c>
      <c r="D28" s="71">
        <f>-497.67+7.68+202443.07-3124.71+159982.13-2469.32+7529.48-116.22-16.67+0.26+8989.32-138.75</f>
        <v>372588.60000000003</v>
      </c>
      <c r="E28" s="71">
        <f>49474.73+44799.09-2.23-2.02+1749.69-0.08+2084.94-0.09</f>
        <v>98104.030000000013</v>
      </c>
      <c r="F28" s="76">
        <v>35476.03</v>
      </c>
      <c r="G28" s="75">
        <f t="shared" si="0"/>
        <v>769272.17000000016</v>
      </c>
    </row>
    <row r="29" spans="1:8" s="78" customFormat="1" x14ac:dyDescent="0.25">
      <c r="A29" s="74"/>
      <c r="B29" s="71"/>
      <c r="C29" s="71"/>
      <c r="D29" s="71"/>
      <c r="E29" s="71"/>
      <c r="F29" s="76"/>
      <c r="G29" s="75">
        <f t="shared" si="0"/>
        <v>0</v>
      </c>
    </row>
    <row r="30" spans="1:8" s="78" customFormat="1" x14ac:dyDescent="0.25">
      <c r="A30" s="74" t="s">
        <v>36</v>
      </c>
      <c r="B30" s="71">
        <v>151666.5</v>
      </c>
      <c r="C30" s="71">
        <v>569388.24</v>
      </c>
      <c r="D30" s="71">
        <v>735859.36</v>
      </c>
      <c r="E30" s="71">
        <v>193761.76</v>
      </c>
      <c r="F30" s="71">
        <v>285273.71999999997</v>
      </c>
      <c r="G30" s="75">
        <f t="shared" si="0"/>
        <v>1935949.58</v>
      </c>
      <c r="H30" s="77"/>
    </row>
    <row r="31" spans="1:8" s="78" customFormat="1" x14ac:dyDescent="0.25">
      <c r="A31" s="74"/>
      <c r="B31" s="71"/>
      <c r="C31" s="71"/>
      <c r="D31" s="71"/>
      <c r="E31" s="71"/>
      <c r="F31" s="76"/>
      <c r="G31" s="75">
        <f t="shared" si="0"/>
        <v>0</v>
      </c>
    </row>
    <row r="32" spans="1:8" s="78" customFormat="1" x14ac:dyDescent="0.25">
      <c r="A32" s="74" t="s">
        <v>37</v>
      </c>
      <c r="B32" s="71">
        <f>B30-B34</f>
        <v>151666.5</v>
      </c>
      <c r="C32" s="71">
        <f>C30-C34</f>
        <v>569388.24</v>
      </c>
      <c r="D32" s="71">
        <f>D30-D34</f>
        <v>735859.36</v>
      </c>
      <c r="E32" s="71">
        <f>E30-E34</f>
        <v>193761.76</v>
      </c>
      <c r="F32" s="71">
        <f>F30-F34</f>
        <v>38447.989999999962</v>
      </c>
      <c r="G32" s="75">
        <f t="shared" si="0"/>
        <v>1689123.85</v>
      </c>
    </row>
    <row r="33" spans="1:8" s="78" customFormat="1" x14ac:dyDescent="0.25">
      <c r="A33" s="74"/>
      <c r="B33" s="71"/>
      <c r="C33" s="71"/>
      <c r="D33" s="71"/>
      <c r="E33" s="71"/>
      <c r="F33" s="75"/>
      <c r="G33" s="75">
        <f t="shared" si="0"/>
        <v>0</v>
      </c>
    </row>
    <row r="34" spans="1:8" s="78" customFormat="1" x14ac:dyDescent="0.25">
      <c r="A34" s="74" t="s">
        <v>38</v>
      </c>
      <c r="B34" s="71">
        <f>'Данные по УК'!B10</f>
        <v>0</v>
      </c>
      <c r="C34" s="71">
        <f>'Данные по УК'!C10</f>
        <v>0</v>
      </c>
      <c r="D34" s="71">
        <f>'Данные по УК'!D10</f>
        <v>0</v>
      </c>
      <c r="E34" s="71">
        <f>'Данные по УК'!E10</f>
        <v>0</v>
      </c>
      <c r="F34" s="71">
        <f>'Данные по УК'!F10</f>
        <v>246825.73</v>
      </c>
      <c r="G34" s="75">
        <f t="shared" si="0"/>
        <v>246825.73</v>
      </c>
    </row>
    <row r="35" spans="1:8" s="78" customFormat="1" x14ac:dyDescent="0.25">
      <c r="A35" s="74"/>
      <c r="B35" s="71"/>
      <c r="C35" s="71"/>
      <c r="D35" s="71"/>
      <c r="E35" s="71"/>
      <c r="F35" s="75"/>
      <c r="G35" s="75">
        <f t="shared" si="0"/>
        <v>0</v>
      </c>
    </row>
    <row r="36" spans="1:8" s="78" customFormat="1" x14ac:dyDescent="0.25">
      <c r="A36" s="74" t="s">
        <v>39</v>
      </c>
      <c r="B36" s="71"/>
      <c r="C36" s="71"/>
      <c r="D36" s="71"/>
      <c r="E36" s="71"/>
      <c r="F36" s="75"/>
      <c r="G36" s="75">
        <f t="shared" si="0"/>
        <v>0</v>
      </c>
    </row>
    <row r="37" spans="1:8" s="78" customFormat="1" x14ac:dyDescent="0.25">
      <c r="A37" s="74"/>
      <c r="B37" s="71"/>
      <c r="C37" s="71"/>
      <c r="D37" s="71"/>
      <c r="E37" s="71"/>
      <c r="F37" s="75"/>
      <c r="G37" s="75">
        <f t="shared" si="0"/>
        <v>0</v>
      </c>
    </row>
    <row r="38" spans="1:8" s="78" customFormat="1" x14ac:dyDescent="0.25">
      <c r="A38" s="69" t="s">
        <v>43</v>
      </c>
      <c r="B38" s="71">
        <f>938809.04+300985.22</f>
        <v>1239794.26</v>
      </c>
      <c r="C38" s="71">
        <f>2401399.54+805282.09</f>
        <v>3206681.63</v>
      </c>
      <c r="D38" s="71">
        <f>-54.36+3437337.4+1187857.16</f>
        <v>4625140.2</v>
      </c>
      <c r="E38" s="71">
        <f>872231.29+292291.55</f>
        <v>1164522.8400000001</v>
      </c>
      <c r="F38" s="71">
        <v>503988.78</v>
      </c>
      <c r="G38" s="75">
        <f t="shared" si="0"/>
        <v>10740127.709999999</v>
      </c>
    </row>
    <row r="39" spans="1:8" s="73" customFormat="1" x14ac:dyDescent="0.25">
      <c r="A39" s="74" t="s">
        <v>79</v>
      </c>
      <c r="B39" s="71"/>
      <c r="C39" s="71"/>
      <c r="D39" s="71"/>
      <c r="E39" s="71"/>
      <c r="F39" s="75"/>
      <c r="G39" s="75">
        <f t="shared" si="0"/>
        <v>0</v>
      </c>
    </row>
    <row r="40" spans="1:8" s="73" customFormat="1" x14ac:dyDescent="0.3">
      <c r="A40" s="69"/>
      <c r="B40" s="75">
        <f>938809.04/1541.78+300985.22/1621.95</f>
        <v>794.48242625489274</v>
      </c>
      <c r="C40" s="71">
        <f>2401399.54/1541.78+805282.09/1621.95</f>
        <v>2054.0401484335721</v>
      </c>
      <c r="D40" s="71">
        <f>-54.36/1541.78+3437337.4/1541.78+1187857.16/1621.95</f>
        <v>2961.7887177482221</v>
      </c>
      <c r="E40" s="71">
        <f>872231.29/1541.78+292291.55/1621.95</f>
        <v>745.94002207900962</v>
      </c>
      <c r="F40" s="75">
        <v>310.73</v>
      </c>
      <c r="G40" s="75">
        <f t="shared" si="0"/>
        <v>6866.9813145156968</v>
      </c>
    </row>
    <row r="41" spans="1:8" s="78" customFormat="1" x14ac:dyDescent="0.25">
      <c r="A41" s="74" t="s">
        <v>77</v>
      </c>
      <c r="B41" s="71"/>
      <c r="C41" s="71"/>
      <c r="D41" s="71"/>
      <c r="E41" s="71"/>
      <c r="F41" s="75"/>
      <c r="G41" s="75">
        <f t="shared" si="0"/>
        <v>0</v>
      </c>
    </row>
    <row r="42" spans="1:8" s="78" customFormat="1" x14ac:dyDescent="0.25">
      <c r="A42" s="74"/>
      <c r="B42" s="71"/>
      <c r="C42" s="71"/>
      <c r="D42" s="71"/>
      <c r="E42" s="71"/>
      <c r="F42" s="75"/>
      <c r="G42" s="75">
        <f t="shared" si="0"/>
        <v>0</v>
      </c>
    </row>
    <row r="43" spans="1:8" s="78" customFormat="1" x14ac:dyDescent="0.25">
      <c r="A43" s="74" t="s">
        <v>34</v>
      </c>
      <c r="B43" s="71">
        <f>887382.34+284497.65</f>
        <v>1171879.99</v>
      </c>
      <c r="C43" s="71">
        <f>2159862.7+724285.45</f>
        <v>2884148.1500000004</v>
      </c>
      <c r="D43" s="71">
        <f>-51.49+3256071.46+1125216.22</f>
        <v>4381236.1899999995</v>
      </c>
      <c r="E43" s="71">
        <f>762923.24+255661.56</f>
        <v>1018584.8</v>
      </c>
      <c r="F43" s="75">
        <v>402946.99</v>
      </c>
      <c r="G43" s="75">
        <f t="shared" si="0"/>
        <v>9858796.120000001</v>
      </c>
    </row>
    <row r="44" spans="1:8" s="78" customFormat="1" x14ac:dyDescent="0.25">
      <c r="A44" s="74"/>
      <c r="B44" s="71"/>
      <c r="C44" s="71"/>
      <c r="D44" s="71"/>
      <c r="E44" s="71"/>
      <c r="F44" s="75"/>
      <c r="G44" s="75">
        <f t="shared" si="0"/>
        <v>0</v>
      </c>
    </row>
    <row r="45" spans="1:8" s="78" customFormat="1" x14ac:dyDescent="0.25">
      <c r="A45" s="74" t="s">
        <v>35</v>
      </c>
      <c r="B45" s="71">
        <f>331734.62-3233.48+106355.19-1036.66</f>
        <v>433819.67000000004</v>
      </c>
      <c r="C45" s="71">
        <f>1141283.72-3645.14+382716.55-1222</f>
        <v>1519133.1300000001</v>
      </c>
      <c r="D45" s="71">
        <f>-31.46+0.49+1989093.22-30701.63+687380.48-10609.71</f>
        <v>2635131.39</v>
      </c>
      <c r="E45" s="71">
        <f>474314.9+158946.65-21.35-7.16</f>
        <v>633233.04</v>
      </c>
      <c r="F45" s="75">
        <v>101041.78</v>
      </c>
      <c r="G45" s="75">
        <f t="shared" si="0"/>
        <v>5322359.0100000007</v>
      </c>
    </row>
    <row r="46" spans="1:8" s="78" customFormat="1" x14ac:dyDescent="0.25">
      <c r="A46" s="74"/>
      <c r="B46" s="71"/>
      <c r="C46" s="71"/>
      <c r="D46" s="71"/>
      <c r="E46" s="71"/>
      <c r="F46" s="75"/>
      <c r="G46" s="75">
        <f t="shared" si="0"/>
        <v>0</v>
      </c>
    </row>
    <row r="47" spans="1:8" s="78" customFormat="1" x14ac:dyDescent="0.25">
      <c r="A47" s="74" t="s">
        <v>36</v>
      </c>
      <c r="B47" s="71">
        <v>1239496.1100000001</v>
      </c>
      <c r="C47" s="71">
        <v>3202329.77</v>
      </c>
      <c r="D47" s="71">
        <v>4618750.5999999996</v>
      </c>
      <c r="E47" s="71">
        <v>1163679.3999999999</v>
      </c>
      <c r="F47" s="71">
        <v>504004.74</v>
      </c>
      <c r="G47" s="75">
        <f t="shared" si="0"/>
        <v>10728260.620000001</v>
      </c>
      <c r="H47" s="77"/>
    </row>
    <row r="48" spans="1:8" s="78" customFormat="1" x14ac:dyDescent="0.25">
      <c r="A48" s="74"/>
      <c r="B48" s="71"/>
      <c r="C48" s="71"/>
      <c r="D48" s="71"/>
      <c r="E48" s="71"/>
      <c r="F48" s="75"/>
      <c r="G48" s="75">
        <f t="shared" si="0"/>
        <v>0</v>
      </c>
    </row>
    <row r="49" spans="1:8" s="78" customFormat="1" x14ac:dyDescent="0.25">
      <c r="A49" s="74" t="s">
        <v>37</v>
      </c>
      <c r="B49" s="71">
        <f>B47-B51</f>
        <v>940100.35000000009</v>
      </c>
      <c r="C49" s="71">
        <f>C47-C51</f>
        <v>2401491.9500000002</v>
      </c>
      <c r="D49" s="71">
        <f>D47-D51</f>
        <v>3437305.9999999995</v>
      </c>
      <c r="E49" s="71">
        <f>E47-E51</f>
        <v>483409.24</v>
      </c>
      <c r="F49" s="71">
        <f>F47-F51</f>
        <v>0</v>
      </c>
      <c r="G49" s="75">
        <f t="shared" si="0"/>
        <v>7262307.54</v>
      </c>
    </row>
    <row r="50" spans="1:8" s="78" customFormat="1" x14ac:dyDescent="0.25">
      <c r="A50" s="74"/>
      <c r="B50" s="71"/>
      <c r="C50" s="71"/>
      <c r="D50" s="71"/>
      <c r="E50" s="71"/>
      <c r="F50" s="75"/>
      <c r="G50" s="75">
        <f t="shared" si="0"/>
        <v>0</v>
      </c>
    </row>
    <row r="51" spans="1:8" s="78" customFormat="1" x14ac:dyDescent="0.25">
      <c r="A51" s="74" t="s">
        <v>38</v>
      </c>
      <c r="B51" s="71">
        <f>'Данные по УК'!B6</f>
        <v>299395.76</v>
      </c>
      <c r="C51" s="71">
        <f>'Данные по УК'!C6</f>
        <v>800837.82000000007</v>
      </c>
      <c r="D51" s="71">
        <f>'Данные по УК'!D6</f>
        <v>1181444.6000000001</v>
      </c>
      <c r="E51" s="71">
        <f>'Данные по УК'!E6</f>
        <v>680270.15999999992</v>
      </c>
      <c r="F51" s="71">
        <f>'Данные по УК'!F6</f>
        <v>504004.74</v>
      </c>
      <c r="G51" s="75">
        <f t="shared" si="0"/>
        <v>3465953.08</v>
      </c>
    </row>
    <row r="52" spans="1:8" s="78" customFormat="1" x14ac:dyDescent="0.25">
      <c r="A52" s="74"/>
      <c r="B52" s="71"/>
      <c r="C52" s="71"/>
      <c r="D52" s="71"/>
      <c r="E52" s="71"/>
      <c r="F52" s="75"/>
      <c r="G52" s="75">
        <f t="shared" si="0"/>
        <v>0</v>
      </c>
    </row>
    <row r="53" spans="1:8" s="78" customFormat="1" x14ac:dyDescent="0.25">
      <c r="A53" s="74" t="s">
        <v>39</v>
      </c>
      <c r="B53" s="71"/>
      <c r="C53" s="71"/>
      <c r="D53" s="71"/>
      <c r="E53" s="71"/>
      <c r="F53" s="75"/>
      <c r="G53" s="75">
        <f t="shared" si="0"/>
        <v>0</v>
      </c>
    </row>
    <row r="54" spans="1:8" s="78" customFormat="1" x14ac:dyDescent="0.25">
      <c r="A54" s="74"/>
      <c r="B54" s="71"/>
      <c r="C54" s="71"/>
      <c r="D54" s="71"/>
      <c r="E54" s="71"/>
      <c r="F54" s="75"/>
      <c r="G54" s="75">
        <f t="shared" si="0"/>
        <v>0</v>
      </c>
    </row>
    <row r="55" spans="1:8" s="78" customFormat="1" x14ac:dyDescent="0.25">
      <c r="A55" s="69" t="s">
        <v>44</v>
      </c>
      <c r="B55" s="71"/>
      <c r="C55" s="71"/>
      <c r="D55" s="71"/>
      <c r="E55" s="71"/>
      <c r="F55" s="75"/>
      <c r="G55" s="75">
        <f t="shared" si="0"/>
        <v>0</v>
      </c>
    </row>
    <row r="56" spans="1:8" s="73" customFormat="1" x14ac:dyDescent="0.25">
      <c r="A56" s="74" t="s">
        <v>79</v>
      </c>
      <c r="B56" s="71">
        <f>251262.19+177881.33+17093.94+18908.4</f>
        <v>465145.86000000004</v>
      </c>
      <c r="C56" s="71">
        <f>629191.51+509623.72+30076.74+33046.93</f>
        <v>1201938.8999999999</v>
      </c>
      <c r="D56" s="71">
        <f>-2419.73+923122.97+675612.99+35485.5-75.27+39067.31</f>
        <v>1670793.77</v>
      </c>
      <c r="E56" s="71">
        <f>253909.84+216969.13+8775.3+9642.36</f>
        <v>489296.62999999995</v>
      </c>
      <c r="F56" s="75">
        <v>465174.07</v>
      </c>
      <c r="G56" s="75">
        <f t="shared" si="0"/>
        <v>4292349.2300000004</v>
      </c>
    </row>
    <row r="57" spans="1:8" s="73" customFormat="1" x14ac:dyDescent="0.3">
      <c r="A57" s="69"/>
      <c r="B57" s="75"/>
      <c r="C57" s="71"/>
      <c r="D57" s="75"/>
      <c r="E57" s="75"/>
      <c r="F57" s="75"/>
      <c r="G57" s="75">
        <f t="shared" si="0"/>
        <v>0</v>
      </c>
    </row>
    <row r="58" spans="1:8" s="78" customFormat="1" x14ac:dyDescent="0.25">
      <c r="A58" s="74" t="s">
        <v>77</v>
      </c>
      <c r="B58" s="71">
        <f>251262.19/92.51+177881.33/97.32+17093.94/92.51+18908.4/97.32</f>
        <v>4922.9230407567939</v>
      </c>
      <c r="C58" s="71">
        <f>629191.51/92.51+509623.72/97.32+30076.74/92.51+33046.93/97.32</f>
        <v>12702.601143074122</v>
      </c>
      <c r="D58" s="71">
        <f>-2419.73/92.51+923122.97/92.51+675612.99/97.32+35485.5/92.51-75.27/92.51+39067.31/97.32</f>
        <v>17678.856310243038</v>
      </c>
      <c r="E58" s="71">
        <f>253909.84/92.51+216969.13/97.32+8775.3/9251+9642.36/97.32</f>
        <v>5074.1423151663366</v>
      </c>
      <c r="F58" s="75">
        <v>4821.1099999999997</v>
      </c>
      <c r="G58" s="75">
        <f t="shared" si="0"/>
        <v>45199.632809240284</v>
      </c>
    </row>
    <row r="59" spans="1:8" s="78" customFormat="1" x14ac:dyDescent="0.25">
      <c r="A59" s="74"/>
      <c r="B59" s="71"/>
      <c r="C59" s="71"/>
      <c r="D59" s="71"/>
      <c r="E59" s="71"/>
      <c r="F59" s="75"/>
      <c r="G59" s="75">
        <f t="shared" si="0"/>
        <v>0</v>
      </c>
    </row>
    <row r="60" spans="1:8" s="78" customFormat="1" x14ac:dyDescent="0.25">
      <c r="A60" s="74" t="s">
        <v>34</v>
      </c>
      <c r="B60" s="71">
        <f>237498.38+168137.23+16157.56+17872.62</f>
        <v>439665.79</v>
      </c>
      <c r="C60" s="71">
        <f>565906.36+458364.9+27051.57+29723.01</f>
        <v>1081045.8400000001</v>
      </c>
      <c r="D60" s="71">
        <f>-2292.13+874442.63+639984.94+33614.19-71.3+37007.12</f>
        <v>1582685.45</v>
      </c>
      <c r="E60" s="71">
        <f>222089.85+189778.55+7675.58+8433.98</f>
        <v>427977.96</v>
      </c>
      <c r="F60" s="75">
        <v>371914.02</v>
      </c>
      <c r="G60" s="75">
        <f t="shared" si="0"/>
        <v>3903289.06</v>
      </c>
    </row>
    <row r="61" spans="1:8" s="78" customFormat="1" x14ac:dyDescent="0.25">
      <c r="A61" s="74"/>
      <c r="B61" s="71"/>
      <c r="C61" s="71"/>
      <c r="D61" s="71"/>
      <c r="E61" s="71"/>
      <c r="F61" s="75"/>
      <c r="G61" s="75">
        <f t="shared" si="0"/>
        <v>0</v>
      </c>
    </row>
    <row r="62" spans="1:8" s="78" customFormat="1" x14ac:dyDescent="0.25">
      <c r="A62" s="74" t="s">
        <v>35</v>
      </c>
      <c r="B62" s="71">
        <f>88785.22-865.41+62855.59-612.67+6040.26-58.88+6681.41-65.12</f>
        <v>162760.4</v>
      </c>
      <c r="C62" s="71">
        <f>299028.14-955.06+242202.62-773.57+14294.2-45.65+15705.81-50.16</f>
        <v>569406.32999999996</v>
      </c>
      <c r="D62" s="71">
        <f>-1400.23+21.61+534186.04-8245.16+390958.77-6034.44-43.56+0.67+20534.49-316.95+22607.18-348.94</f>
        <v>951919.48000000021</v>
      </c>
      <c r="E62" s="71">
        <f>138074.87-6.22+117986.7-5.31+4771.96-0.21+5243.47-0.24</f>
        <v>266065.01999999996</v>
      </c>
      <c r="F62" s="75">
        <v>93260.05</v>
      </c>
      <c r="G62" s="75">
        <f t="shared" si="0"/>
        <v>2043411.2800000003</v>
      </c>
    </row>
    <row r="63" spans="1:8" s="78" customFormat="1" x14ac:dyDescent="0.25">
      <c r="A63" s="74"/>
      <c r="B63" s="71"/>
      <c r="C63" s="71"/>
      <c r="D63" s="71"/>
      <c r="E63" s="71"/>
      <c r="F63" s="75"/>
      <c r="G63" s="75">
        <f t="shared" si="0"/>
        <v>0</v>
      </c>
    </row>
    <row r="64" spans="1:8" s="78" customFormat="1" x14ac:dyDescent="0.25">
      <c r="A64" s="74" t="s">
        <v>36</v>
      </c>
      <c r="B64" s="71">
        <v>450571.52000000002</v>
      </c>
      <c r="C64" s="71">
        <v>1332867.8700000001</v>
      </c>
      <c r="D64" s="71">
        <v>1769852.41</v>
      </c>
      <c r="E64" s="71">
        <v>519940.73</v>
      </c>
      <c r="F64" s="71">
        <v>465166.92</v>
      </c>
      <c r="G64" s="75">
        <f t="shared" si="0"/>
        <v>4538399.45</v>
      </c>
      <c r="H64" s="77"/>
    </row>
    <row r="65" spans="1:7" s="78" customFormat="1" x14ac:dyDescent="0.25">
      <c r="A65" s="74"/>
      <c r="B65" s="71"/>
      <c r="C65" s="71"/>
      <c r="D65" s="71"/>
      <c r="E65" s="71"/>
      <c r="F65" s="75"/>
      <c r="G65" s="75">
        <f t="shared" si="0"/>
        <v>0</v>
      </c>
    </row>
    <row r="66" spans="1:7" s="78" customFormat="1" x14ac:dyDescent="0.25">
      <c r="A66" s="74" t="s">
        <v>37</v>
      </c>
      <c r="B66" s="71">
        <f>B64-B68</f>
        <v>368695.49</v>
      </c>
      <c r="C66" s="71">
        <f>C64-C68</f>
        <v>1082276.6000000001</v>
      </c>
      <c r="D66" s="71">
        <f>D64-D68</f>
        <v>1434757.54</v>
      </c>
      <c r="E66" s="71">
        <f>E64-E68</f>
        <v>241049.14</v>
      </c>
      <c r="F66" s="71">
        <f>F64-F68</f>
        <v>0</v>
      </c>
      <c r="G66" s="75">
        <f t="shared" si="0"/>
        <v>3126778.77</v>
      </c>
    </row>
    <row r="67" spans="1:7" s="78" customFormat="1" x14ac:dyDescent="0.25">
      <c r="A67" s="74"/>
      <c r="B67" s="71"/>
      <c r="C67" s="71"/>
      <c r="D67" s="71"/>
      <c r="E67" s="71"/>
      <c r="F67" s="75"/>
      <c r="G67" s="75">
        <f t="shared" si="0"/>
        <v>0</v>
      </c>
    </row>
    <row r="68" spans="1:7" s="78" customFormat="1" x14ac:dyDescent="0.25">
      <c r="A68" s="74" t="s">
        <v>38</v>
      </c>
      <c r="B68" s="71">
        <f>'Данные по УК'!B9</f>
        <v>81876.03</v>
      </c>
      <c r="C68" s="71">
        <f>'Данные по УК'!C9</f>
        <v>250591.27</v>
      </c>
      <c r="D68" s="71">
        <f>'Данные по УК'!D9</f>
        <v>335094.87</v>
      </c>
      <c r="E68" s="71">
        <f>'Данные по УК'!E9</f>
        <v>278891.58999999997</v>
      </c>
      <c r="F68" s="71">
        <f>'Данные по УК'!F9</f>
        <v>465166.92</v>
      </c>
      <c r="G68" s="75">
        <f t="shared" si="0"/>
        <v>1411620.68</v>
      </c>
    </row>
    <row r="69" spans="1:7" s="78" customFormat="1" x14ac:dyDescent="0.25">
      <c r="A69" s="74"/>
      <c r="B69" s="71"/>
      <c r="C69" s="71"/>
      <c r="D69" s="71"/>
      <c r="E69" s="71"/>
      <c r="F69" s="75"/>
      <c r="G69" s="75">
        <f t="shared" si="0"/>
        <v>0</v>
      </c>
    </row>
    <row r="70" spans="1:7" s="78" customFormat="1" x14ac:dyDescent="0.25">
      <c r="A70" s="74" t="s">
        <v>39</v>
      </c>
      <c r="B70" s="71"/>
      <c r="C70" s="71"/>
      <c r="D70" s="71"/>
      <c r="E70" s="71"/>
      <c r="F70" s="75"/>
      <c r="G70" s="75">
        <f t="shared" ref="G70:G88" si="1">B70+C70+D70+E70+F70</f>
        <v>0</v>
      </c>
    </row>
    <row r="71" spans="1:7" s="78" customFormat="1" x14ac:dyDescent="0.25">
      <c r="A71" s="74"/>
      <c r="B71" s="71"/>
      <c r="C71" s="71"/>
      <c r="D71" s="71"/>
      <c r="E71" s="71"/>
      <c r="F71" s="75"/>
      <c r="G71" s="75">
        <f t="shared" si="1"/>
        <v>0</v>
      </c>
    </row>
    <row r="72" spans="1:7" s="78" customFormat="1" x14ac:dyDescent="0.25">
      <c r="A72" s="69" t="s">
        <v>45</v>
      </c>
      <c r="B72" s="71"/>
      <c r="C72" s="71"/>
      <c r="D72" s="71"/>
      <c r="E72" s="71"/>
      <c r="F72" s="75"/>
      <c r="G72" s="75">
        <f t="shared" si="1"/>
        <v>0</v>
      </c>
    </row>
    <row r="73" spans="1:7" s="73" customFormat="1" x14ac:dyDescent="0.25">
      <c r="A73" s="74" t="s">
        <v>79</v>
      </c>
      <c r="B73" s="71">
        <f>140660.51+116979.69</f>
        <v>257640.2</v>
      </c>
      <c r="C73" s="71">
        <f>370519.47+325915.22</f>
        <v>696434.69</v>
      </c>
      <c r="D73" s="71">
        <f>-1483.84+575651.09+453305.05</f>
        <v>1027472.3</v>
      </c>
      <c r="E73" s="71">
        <f>154466.32+139143.4</f>
        <v>293609.71999999997</v>
      </c>
      <c r="F73" s="75">
        <v>263580.98</v>
      </c>
      <c r="G73" s="75">
        <f t="shared" si="1"/>
        <v>2538737.89</v>
      </c>
    </row>
    <row r="74" spans="1:7" s="73" customFormat="1" x14ac:dyDescent="0.3">
      <c r="A74" s="69"/>
      <c r="B74" s="75"/>
      <c r="C74" s="71"/>
      <c r="D74" s="75"/>
      <c r="E74" s="75"/>
      <c r="F74" s="75"/>
      <c r="G74" s="75">
        <f t="shared" si="1"/>
        <v>0</v>
      </c>
    </row>
    <row r="75" spans="1:7" s="78" customFormat="1" x14ac:dyDescent="0.25">
      <c r="A75" s="74" t="s">
        <v>76</v>
      </c>
      <c r="B75" s="71">
        <f>140660.51/23.13+116979.69/25.44</f>
        <v>10679.560027306692</v>
      </c>
      <c r="C75" s="71">
        <f>370519.47/23.13+325915.22/25.44</f>
        <v>28830.132861635218</v>
      </c>
      <c r="D75" s="71">
        <f>-1483.84/23.13+575651.09/23.13+453305.05/25.44</f>
        <v>42642.081546366317</v>
      </c>
      <c r="E75" s="71">
        <f>154466.32/23.13+139143.4/25.44</f>
        <v>12147.653988122915</v>
      </c>
      <c r="F75" s="75">
        <v>10513.78</v>
      </c>
      <c r="G75" s="75">
        <f t="shared" si="1"/>
        <v>104813.20842343113</v>
      </c>
    </row>
    <row r="76" spans="1:7" s="78" customFormat="1" x14ac:dyDescent="0.25">
      <c r="A76" s="74"/>
      <c r="B76" s="71"/>
      <c r="C76" s="71"/>
      <c r="D76" s="71"/>
      <c r="E76" s="71"/>
      <c r="F76" s="75"/>
      <c r="G76" s="75">
        <f t="shared" si="1"/>
        <v>0</v>
      </c>
    </row>
    <row r="77" spans="1:7" s="78" customFormat="1" x14ac:dyDescent="0.25">
      <c r="A77" s="74" t="s">
        <v>34</v>
      </c>
      <c r="B77" s="71">
        <f>132955.32+110571.7</f>
        <v>243527.02000000002</v>
      </c>
      <c r="C77" s="71">
        <f>333251.99+293134.11</f>
        <v>626386.1</v>
      </c>
      <c r="D77" s="71">
        <f>-1405.59+545294.47+429400.28</f>
        <v>973289.16</v>
      </c>
      <c r="E77" s="71">
        <f>135108.6+121705.95</f>
        <v>256814.55</v>
      </c>
      <c r="F77" s="75">
        <v>210737.16</v>
      </c>
      <c r="G77" s="75">
        <f t="shared" si="1"/>
        <v>2310753.9900000002</v>
      </c>
    </row>
    <row r="78" spans="1:7" s="78" customFormat="1" x14ac:dyDescent="0.25">
      <c r="A78" s="74"/>
      <c r="B78" s="71"/>
      <c r="C78" s="71"/>
      <c r="D78" s="71"/>
      <c r="E78" s="71"/>
      <c r="F78" s="75"/>
      <c r="G78" s="75">
        <f t="shared" si="1"/>
        <v>0</v>
      </c>
    </row>
    <row r="79" spans="1:7" s="78" customFormat="1" x14ac:dyDescent="0.25">
      <c r="A79" s="74" t="s">
        <v>35</v>
      </c>
      <c r="B79" s="71">
        <f>49703.36-484.47+41335-402.91</f>
        <v>90150.98</v>
      </c>
      <c r="C79" s="71">
        <f>176092.25-562.42+154893.73-494.71</f>
        <v>329928.84999999998</v>
      </c>
      <c r="D79" s="71">
        <f>-858.66+13.25+333113.55-5141.6+262315.24-4048.83</f>
        <v>585392.95000000007</v>
      </c>
      <c r="E79" s="71">
        <f>83997.99-3.78+75665.47-3.41</f>
        <v>159656.26999999999</v>
      </c>
      <c r="F79" s="75">
        <v>52843.83</v>
      </c>
      <c r="G79" s="75">
        <f t="shared" si="1"/>
        <v>1217972.8800000001</v>
      </c>
    </row>
    <row r="80" spans="1:7" s="78" customFormat="1" x14ac:dyDescent="0.25">
      <c r="A80" s="74"/>
      <c r="B80" s="71"/>
      <c r="C80" s="71"/>
      <c r="D80" s="71"/>
      <c r="E80" s="71"/>
      <c r="F80" s="75"/>
      <c r="G80" s="75">
        <f t="shared" si="1"/>
        <v>0</v>
      </c>
    </row>
    <row r="81" spans="1:8" s="78" customFormat="1" x14ac:dyDescent="0.25">
      <c r="A81" s="74" t="s">
        <v>36</v>
      </c>
      <c r="B81" s="71">
        <v>274070.21000000002</v>
      </c>
      <c r="C81" s="71">
        <v>938156.75</v>
      </c>
      <c r="D81" s="71">
        <v>1228340.8400000001</v>
      </c>
      <c r="E81" s="71">
        <v>331665.45</v>
      </c>
      <c r="F81" s="71">
        <v>433923.24</v>
      </c>
      <c r="G81" s="75">
        <f t="shared" si="1"/>
        <v>3206156.49</v>
      </c>
      <c r="H81" s="77"/>
    </row>
    <row r="82" spans="1:8" s="78" customFormat="1" x14ac:dyDescent="0.25">
      <c r="A82" s="74"/>
      <c r="B82" s="71"/>
      <c r="C82" s="71"/>
      <c r="D82" s="71"/>
      <c r="E82" s="71"/>
      <c r="F82" s="75"/>
      <c r="G82" s="75">
        <f t="shared" si="1"/>
        <v>0</v>
      </c>
    </row>
    <row r="83" spans="1:8" s="78" customFormat="1" x14ac:dyDescent="0.25">
      <c r="A83" s="74" t="s">
        <v>37</v>
      </c>
      <c r="B83" s="71">
        <f>B81-B85</f>
        <v>274070.21000000002</v>
      </c>
      <c r="C83" s="71">
        <f>C81-C85</f>
        <v>938156.75</v>
      </c>
      <c r="D83" s="71">
        <f>D81-D85</f>
        <v>1228340.8400000001</v>
      </c>
      <c r="E83" s="71">
        <v>0</v>
      </c>
      <c r="F83" s="71">
        <f>F81-F85</f>
        <v>57853.299999999988</v>
      </c>
      <c r="G83" s="75">
        <f t="shared" si="1"/>
        <v>2498421.0999999996</v>
      </c>
    </row>
    <row r="84" spans="1:8" s="78" customFormat="1" x14ac:dyDescent="0.25">
      <c r="A84" s="74"/>
      <c r="B84" s="71"/>
      <c r="C84" s="71"/>
      <c r="D84" s="71"/>
      <c r="E84" s="71"/>
      <c r="F84" s="75"/>
      <c r="G84" s="75">
        <f t="shared" si="1"/>
        <v>0</v>
      </c>
    </row>
    <row r="85" spans="1:8" s="78" customFormat="1" x14ac:dyDescent="0.25">
      <c r="A85" s="74" t="s">
        <v>38</v>
      </c>
      <c r="B85" s="71">
        <f>'Данные по УК'!B11</f>
        <v>0</v>
      </c>
      <c r="C85" s="71">
        <f>'Данные по УК'!C11</f>
        <v>0</v>
      </c>
      <c r="D85" s="71">
        <f>'Данные по УК'!D11</f>
        <v>0</v>
      </c>
      <c r="E85" s="71">
        <f>'Данные по УК'!E11</f>
        <v>872750.44</v>
      </c>
      <c r="F85" s="71">
        <f>'Данные по УК'!F11</f>
        <v>376069.94</v>
      </c>
      <c r="G85" s="75">
        <f t="shared" si="1"/>
        <v>1248820.3799999999</v>
      </c>
    </row>
    <row r="86" spans="1:8" s="78" customFormat="1" x14ac:dyDescent="0.25">
      <c r="A86" s="74"/>
      <c r="B86" s="71"/>
      <c r="C86" s="71"/>
      <c r="D86" s="71"/>
      <c r="E86" s="71"/>
      <c r="F86" s="75"/>
      <c r="G86" s="75">
        <f t="shared" si="1"/>
        <v>0</v>
      </c>
    </row>
    <row r="87" spans="1:8" s="78" customFormat="1" x14ac:dyDescent="0.25">
      <c r="A87" s="74" t="s">
        <v>39</v>
      </c>
      <c r="B87" s="71"/>
      <c r="C87" s="71"/>
      <c r="D87" s="71"/>
      <c r="E87" s="71"/>
      <c r="F87" s="75"/>
      <c r="G87" s="75">
        <f t="shared" si="1"/>
        <v>0</v>
      </c>
    </row>
    <row r="88" spans="1:8" s="78" customFormat="1" x14ac:dyDescent="0.25">
      <c r="A88" s="86"/>
      <c r="B88" s="71"/>
      <c r="C88" s="71"/>
      <c r="D88" s="71"/>
      <c r="E88" s="71"/>
      <c r="F88" s="75"/>
      <c r="G88" s="75">
        <f t="shared" si="1"/>
        <v>0</v>
      </c>
    </row>
    <row r="89" spans="1:8" s="78" customFormat="1" x14ac:dyDescent="0.25">
      <c r="A89" s="84" t="s">
        <v>83</v>
      </c>
      <c r="C89" s="87"/>
      <c r="F89" s="73"/>
      <c r="G89" s="80"/>
    </row>
    <row r="90" spans="1:8" s="78" customFormat="1" x14ac:dyDescent="0.25">
      <c r="A90" s="84"/>
      <c r="F90" s="73"/>
      <c r="G90" s="80"/>
    </row>
    <row r="91" spans="1:8" s="78" customFormat="1" x14ac:dyDescent="0.25">
      <c r="A91" s="84"/>
      <c r="F91" s="73"/>
      <c r="G91" s="80"/>
    </row>
    <row r="92" spans="1:8" s="78" customFormat="1" x14ac:dyDescent="0.25">
      <c r="A92" s="74" t="s">
        <v>79</v>
      </c>
      <c r="B92" s="88"/>
      <c r="C92" s="89">
        <f>C5+C22+C38+C56+C73</f>
        <v>5751475.5199999996</v>
      </c>
      <c r="D92" s="89">
        <f>D5+D22+D38+D56+D73</f>
        <v>8124479.8999999994</v>
      </c>
      <c r="E92" s="89">
        <f>E5+E22+E38+E56+E73</f>
        <v>2170603.0099999998</v>
      </c>
      <c r="F92" s="89">
        <f>F5+F22+F38+F56+F73</f>
        <v>1463883.8800000001</v>
      </c>
      <c r="G92" s="85"/>
    </row>
    <row r="93" spans="1:8" s="78" customFormat="1" x14ac:dyDescent="0.25">
      <c r="A93" s="74" t="s">
        <v>34</v>
      </c>
      <c r="B93" s="88"/>
      <c r="C93" s="89">
        <f>C9+C26+C43+C60+C77</f>
        <v>5172982.37</v>
      </c>
      <c r="D93" s="89">
        <f>D9+D26+D43+D60+D77</f>
        <v>7696040.2800000003</v>
      </c>
      <c r="E93" s="89">
        <f>E9+E26+E43+E60+E77</f>
        <v>1898583</v>
      </c>
      <c r="F93" s="89">
        <f>F9+F26+F43+F60+F77</f>
        <v>1170398.29</v>
      </c>
      <c r="G93" s="85"/>
    </row>
    <row r="94" spans="1:8" s="78" customFormat="1" x14ac:dyDescent="0.25">
      <c r="A94" s="74" t="s">
        <v>35</v>
      </c>
      <c r="B94" s="88"/>
      <c r="C94" s="89">
        <f>C11+C28+C45+C62+C79</f>
        <v>2724703.3400000003</v>
      </c>
      <c r="D94" s="89">
        <f>D11+D28+D45+D62+D79</f>
        <v>4628848.2200000007</v>
      </c>
      <c r="E94" s="89">
        <f>E11+E28+E45+E62+E79</f>
        <v>1180309.6300000001</v>
      </c>
      <c r="F94" s="89">
        <f>F11+F28+F45+F62+F79</f>
        <v>293485.58</v>
      </c>
      <c r="G94" s="85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30" zoomScaleNormal="130" workbookViewId="0">
      <selection activeCell="G29" sqref="G29"/>
    </sheetView>
  </sheetViews>
  <sheetFormatPr defaultRowHeight="15" outlineLevelRow="1" x14ac:dyDescent="0.25"/>
  <cols>
    <col min="1" max="1" width="95.7109375" customWidth="1"/>
    <col min="2" max="4" width="3.85546875" customWidth="1"/>
    <col min="5" max="5" width="9.140625" hidden="1" customWidth="1"/>
    <col min="6" max="6" width="11.5703125" customWidth="1"/>
    <col min="7" max="7" width="11.42578125" bestFit="1" customWidth="1"/>
    <col min="8" max="8" width="11.28515625" customWidth="1"/>
    <col min="9" max="9" width="11.140625" customWidth="1"/>
    <col min="10" max="10" width="11.5703125" customWidth="1"/>
    <col min="11" max="11" width="10.42578125" customWidth="1"/>
  </cols>
  <sheetData>
    <row r="1" spans="1:11" ht="15.75" thickBot="1" x14ac:dyDescent="0.3">
      <c r="A1" s="46" t="s">
        <v>62</v>
      </c>
      <c r="B1" s="46"/>
      <c r="C1" s="46"/>
      <c r="D1" s="46"/>
      <c r="E1" s="46"/>
      <c r="F1" s="90" t="s">
        <v>80</v>
      </c>
      <c r="G1" s="90"/>
    </row>
    <row r="2" spans="1:11" ht="20.100000000000001" customHeight="1" thickBot="1" x14ac:dyDescent="0.3">
      <c r="A2" s="48" t="s">
        <v>51</v>
      </c>
      <c r="B2" s="48"/>
      <c r="C2" s="48"/>
      <c r="D2" s="48"/>
      <c r="E2" s="48"/>
      <c r="F2" s="22" t="s">
        <v>64</v>
      </c>
      <c r="G2" s="23" t="s">
        <v>65</v>
      </c>
      <c r="H2" s="23" t="s">
        <v>66</v>
      </c>
      <c r="I2" s="23" t="s">
        <v>67</v>
      </c>
      <c r="J2" s="36" t="s">
        <v>81</v>
      </c>
      <c r="K2" s="6" t="s">
        <v>69</v>
      </c>
    </row>
    <row r="3" spans="1:11" ht="20.100000000000001" hidden="1" customHeight="1" outlineLevel="1" thickBot="1" x14ac:dyDescent="0.3">
      <c r="A3" s="17"/>
      <c r="B3" s="17"/>
      <c r="C3" s="17"/>
      <c r="D3" s="17"/>
      <c r="E3" s="17"/>
      <c r="F3" s="20">
        <f>4381.71+289.79</f>
        <v>4671.5</v>
      </c>
      <c r="G3" s="21">
        <f>10883.25+1209.1</f>
        <v>12092.35</v>
      </c>
      <c r="H3" s="21">
        <f>13786.66+1668.52</f>
        <v>15455.18</v>
      </c>
      <c r="I3" s="21">
        <f>3729.69+439.11</f>
        <v>4168.8</v>
      </c>
      <c r="J3" s="37">
        <f>SUM(F3:I3)</f>
        <v>36387.83</v>
      </c>
      <c r="K3" s="6"/>
    </row>
    <row r="4" spans="1:11" ht="20.100000000000001" hidden="1" customHeight="1" outlineLevel="1" thickBot="1" x14ac:dyDescent="0.3">
      <c r="A4" s="17"/>
      <c r="B4" s="17"/>
      <c r="C4" s="17"/>
      <c r="D4" s="17"/>
      <c r="E4" s="17"/>
      <c r="F4" s="20">
        <f>4381.71</f>
        <v>4381.71</v>
      </c>
      <c r="G4" s="21">
        <f>10883.25</f>
        <v>10883.25</v>
      </c>
      <c r="H4" s="21">
        <f>13786.66</f>
        <v>13786.66</v>
      </c>
      <c r="I4" s="21">
        <f>3729.69</f>
        <v>3729.69</v>
      </c>
      <c r="J4" s="37">
        <f>SUM(F4:I4)</f>
        <v>32781.31</v>
      </c>
      <c r="K4" s="6"/>
    </row>
    <row r="5" spans="1:11" collapsed="1" x14ac:dyDescent="0.25">
      <c r="A5" s="47" t="s">
        <v>18</v>
      </c>
      <c r="B5" s="47"/>
      <c r="C5" s="47"/>
      <c r="D5" s="47"/>
      <c r="E5" s="47"/>
      <c r="F5" s="19">
        <f>33026.48+64186.8</f>
        <v>97213.28</v>
      </c>
      <c r="G5" s="19">
        <f>85613.88+166134.55</f>
        <v>251748.43</v>
      </c>
      <c r="H5" s="19">
        <f>212777.21+109422.06-422.08</f>
        <v>321777.19</v>
      </c>
      <c r="I5" s="19">
        <f>57279.3+29515.2</f>
        <v>86794.5</v>
      </c>
      <c r="J5" s="38">
        <f>169476.78+22199.17-132.59</f>
        <v>191543.36000000002</v>
      </c>
      <c r="K5" s="6"/>
    </row>
    <row r="6" spans="1:11" x14ac:dyDescent="0.25">
      <c r="A6" s="47" t="s">
        <v>27</v>
      </c>
      <c r="B6" s="47"/>
      <c r="C6" s="47"/>
      <c r="D6" s="47"/>
      <c r="E6" s="47"/>
      <c r="F6" s="18">
        <f>268414.9+291221.7</f>
        <v>559636.60000000009</v>
      </c>
      <c r="G6" s="19">
        <f>695794.56+753771.02</f>
        <v>1449565.58</v>
      </c>
      <c r="H6" s="18">
        <f>965417.3+889292.1-1940.61</f>
        <v>1852768.7899999998</v>
      </c>
      <c r="I6" s="18">
        <f>259882.98+239872.73</f>
        <v>499755.71</v>
      </c>
      <c r="J6" s="39">
        <f>768933.48+180415.8-1077.53</f>
        <v>948271.75</v>
      </c>
      <c r="K6" s="6"/>
    </row>
    <row r="7" spans="1:11" x14ac:dyDescent="0.25">
      <c r="A7" s="47" t="s">
        <v>17</v>
      </c>
      <c r="B7" s="47"/>
      <c r="C7" s="47"/>
      <c r="D7" s="47"/>
      <c r="E7" s="47"/>
      <c r="F7" s="18">
        <v>0</v>
      </c>
      <c r="G7" s="18">
        <v>0</v>
      </c>
      <c r="H7" s="18">
        <v>0</v>
      </c>
      <c r="I7" s="18"/>
      <c r="J7" s="39"/>
      <c r="K7" s="6"/>
    </row>
    <row r="8" spans="1:11" x14ac:dyDescent="0.25">
      <c r="A8" s="47" t="s">
        <v>20</v>
      </c>
      <c r="B8" s="47"/>
      <c r="C8" s="47"/>
      <c r="D8" s="47"/>
      <c r="E8" s="47"/>
      <c r="F8" s="18">
        <v>0</v>
      </c>
      <c r="G8" s="18">
        <v>0</v>
      </c>
      <c r="H8" s="18">
        <v>0</v>
      </c>
      <c r="I8" s="18"/>
      <c r="J8" s="39"/>
      <c r="K8" s="6"/>
    </row>
    <row r="9" spans="1:11" x14ac:dyDescent="0.25">
      <c r="A9" s="47" t="s">
        <v>21</v>
      </c>
      <c r="B9" s="47"/>
      <c r="C9" s="47"/>
      <c r="D9" s="47"/>
      <c r="E9" s="47"/>
      <c r="F9" s="18">
        <v>0</v>
      </c>
      <c r="G9" s="18">
        <v>0</v>
      </c>
      <c r="H9" s="18">
        <v>0</v>
      </c>
      <c r="I9" s="18"/>
      <c r="J9" s="39"/>
      <c r="K9" s="6"/>
    </row>
    <row r="10" spans="1:11" x14ac:dyDescent="0.25">
      <c r="A10" s="47" t="s">
        <v>26</v>
      </c>
      <c r="B10" s="47"/>
      <c r="C10" s="47"/>
      <c r="D10" s="47"/>
      <c r="E10" s="47"/>
      <c r="F10" s="18"/>
      <c r="G10" s="18"/>
      <c r="H10" s="18">
        <v>0</v>
      </c>
      <c r="I10" s="18"/>
      <c r="J10" s="39"/>
      <c r="K10" s="6"/>
    </row>
    <row r="11" spans="1:11" x14ac:dyDescent="0.25">
      <c r="A11" s="47" t="s">
        <v>25</v>
      </c>
      <c r="B11" s="47"/>
      <c r="C11" s="47"/>
      <c r="D11" s="47"/>
      <c r="E11" s="47"/>
      <c r="F11" s="18"/>
      <c r="G11" s="18"/>
      <c r="H11" s="18">
        <v>0</v>
      </c>
      <c r="I11" s="18"/>
      <c r="J11" s="39"/>
      <c r="K11" s="6"/>
    </row>
    <row r="12" spans="1:11" x14ac:dyDescent="0.25">
      <c r="A12" s="47" t="s">
        <v>16</v>
      </c>
      <c r="B12" s="47"/>
      <c r="C12" s="47"/>
      <c r="D12" s="47"/>
      <c r="E12" s="47"/>
      <c r="F12" s="18">
        <f>35266.02+38119.32</f>
        <v>73385.34</v>
      </c>
      <c r="G12" s="18">
        <f>91417.56+98664.08</f>
        <v>190081.64</v>
      </c>
      <c r="H12" s="18">
        <f>126368.71+116841.54-254.05</f>
        <v>242956.2</v>
      </c>
      <c r="I12" s="18">
        <f>34017.54+31516.21</f>
        <v>65533.75</v>
      </c>
      <c r="J12" s="40"/>
      <c r="K12" s="6"/>
    </row>
    <row r="13" spans="1:11" x14ac:dyDescent="0.25">
      <c r="A13" s="47" t="s">
        <v>15</v>
      </c>
      <c r="B13" s="47"/>
      <c r="C13" s="47"/>
      <c r="D13" s="47"/>
      <c r="E13" s="47"/>
      <c r="F13" s="18">
        <f>54338.04+57838.44</f>
        <v>112176.48000000001</v>
      </c>
      <c r="G13" s="18">
        <f>118192.14+125375.22</f>
        <v>243567.35999999999</v>
      </c>
      <c r="H13" s="18">
        <f>200635.45+188601.52-452.29</f>
        <v>388784.68</v>
      </c>
      <c r="I13" s="18">
        <f>47441.7+50127.06</f>
        <v>97568.76</v>
      </c>
      <c r="J13" s="40">
        <f>100941.6+24728.53-197.76</f>
        <v>125472.37000000001</v>
      </c>
      <c r="K13" s="6"/>
    </row>
    <row r="14" spans="1:11" x14ac:dyDescent="0.25">
      <c r="A14" s="47" t="s">
        <v>24</v>
      </c>
      <c r="B14" s="47"/>
      <c r="C14" s="47"/>
      <c r="D14" s="47"/>
      <c r="E14" s="47"/>
      <c r="F14" s="18">
        <f>11475.46+12332.88</f>
        <v>23808.339999999997</v>
      </c>
      <c r="G14" s="18">
        <v>0</v>
      </c>
      <c r="H14" s="18"/>
      <c r="I14" s="18"/>
      <c r="J14" s="39"/>
      <c r="K14" s="6"/>
    </row>
    <row r="15" spans="1:11" x14ac:dyDescent="0.25">
      <c r="A15" s="47" t="s">
        <v>23</v>
      </c>
      <c r="B15" s="47"/>
      <c r="C15" s="47"/>
      <c r="D15" s="47"/>
      <c r="E15" s="47"/>
      <c r="F15" s="18"/>
      <c r="G15" s="18">
        <v>0</v>
      </c>
      <c r="H15" s="18"/>
      <c r="I15" s="18"/>
      <c r="J15" s="39"/>
      <c r="K15" s="6"/>
    </row>
    <row r="16" spans="1:11" x14ac:dyDescent="0.25">
      <c r="A16" s="47" t="s">
        <v>22</v>
      </c>
      <c r="B16" s="47"/>
      <c r="C16" s="47"/>
      <c r="D16" s="47"/>
      <c r="E16" s="47"/>
      <c r="F16" s="18">
        <f>15673.72+18220.2</f>
        <v>33893.919999999998</v>
      </c>
      <c r="G16" s="18">
        <f>40629.72+47157.36</f>
        <v>87787.08</v>
      </c>
      <c r="H16" s="18">
        <f>60399.64+51929.8-121.18</f>
        <v>112208.26000000001</v>
      </c>
      <c r="I16" s="18">
        <f>14007.19+16259.04</f>
        <v>30266.230000000003</v>
      </c>
      <c r="J16" s="39"/>
      <c r="K16" s="6"/>
    </row>
    <row r="17" spans="1:11" x14ac:dyDescent="0.25">
      <c r="A17" s="47" t="s">
        <v>19</v>
      </c>
      <c r="B17" s="47"/>
      <c r="C17" s="47"/>
      <c r="D17" s="47"/>
      <c r="E17" s="47"/>
      <c r="F17" s="18">
        <f>39464.46+42604.62</f>
        <v>82069.08</v>
      </c>
      <c r="G17" s="18">
        <f>102301.26+110272.3</f>
        <v>212573.56</v>
      </c>
      <c r="H17" s="18">
        <f>141235.6+130751.4-283.95</f>
        <v>271703.05</v>
      </c>
      <c r="I17" s="18">
        <f>35268.31+38019.36</f>
        <v>73287.67</v>
      </c>
      <c r="J17" s="39">
        <f>112491.12+26526.2-158.42</f>
        <v>138858.9</v>
      </c>
      <c r="K17" s="6"/>
    </row>
    <row r="18" spans="1:11" x14ac:dyDescent="0.25">
      <c r="A18" s="47" t="s">
        <v>84</v>
      </c>
      <c r="B18" s="47"/>
      <c r="C18" s="47"/>
      <c r="D18" s="47"/>
      <c r="E18" s="47"/>
      <c r="F18" s="18">
        <f>142183.58+163689.48</f>
        <v>305873.06</v>
      </c>
      <c r="G18" s="18">
        <f>368574.66+423678.27</f>
        <v>792252.92999999993</v>
      </c>
      <c r="H18" s="18">
        <f>542638.02+471073.56-1088.88</f>
        <v>1012622.7000000001</v>
      </c>
      <c r="I18" s="18">
        <f>146074.68+127065.12</f>
        <v>273139.8</v>
      </c>
      <c r="J18" s="39">
        <f>432200.64+95569.45-570.8</f>
        <v>527199.28999999992</v>
      </c>
      <c r="K18" s="6"/>
    </row>
    <row r="19" spans="1:11" x14ac:dyDescent="0.25">
      <c r="A19" s="43" t="s">
        <v>88</v>
      </c>
      <c r="B19" s="43"/>
      <c r="C19" s="43"/>
      <c r="D19" s="43"/>
      <c r="E19" s="43"/>
      <c r="F19" s="18"/>
      <c r="G19" s="18"/>
      <c r="H19" s="18"/>
      <c r="I19" s="18"/>
      <c r="J19" s="39">
        <f>23530.93-38.2</f>
        <v>23492.73</v>
      </c>
      <c r="K19" s="6"/>
    </row>
    <row r="20" spans="1:11" x14ac:dyDescent="0.25">
      <c r="A20" s="47" t="s">
        <v>85</v>
      </c>
      <c r="B20" s="47"/>
      <c r="C20" s="47"/>
      <c r="D20" s="47"/>
      <c r="E20" s="47"/>
      <c r="F20" s="18">
        <f>16513.9+17378.52</f>
        <v>33892.42</v>
      </c>
      <c r="G20" s="18">
        <f>42807.66+44979.5</f>
        <v>87787.16</v>
      </c>
      <c r="H20" s="18">
        <f>57609.6+54712.38-115.93</f>
        <v>112206.05</v>
      </c>
      <c r="I20" s="18">
        <f>15507.84+14757.53</f>
        <v>30265.370000000003</v>
      </c>
      <c r="J20" s="39">
        <f>31389.21+11099.73-66.29</f>
        <v>42422.65</v>
      </c>
      <c r="K20" s="6"/>
    </row>
    <row r="21" spans="1:11" x14ac:dyDescent="0.25">
      <c r="A21" s="47" t="s">
        <v>86</v>
      </c>
      <c r="B21" s="47"/>
      <c r="C21" s="47"/>
      <c r="D21" s="47"/>
      <c r="E21" s="47"/>
      <c r="F21" s="18">
        <f>74700</f>
        <v>74700</v>
      </c>
      <c r="G21" s="18">
        <v>248200</v>
      </c>
      <c r="H21" s="18">
        <f>199233.67-268.67</f>
        <v>198965</v>
      </c>
      <c r="I21" s="18">
        <f>36920</f>
        <v>36920</v>
      </c>
      <c r="J21" s="39"/>
      <c r="K21" s="6"/>
    </row>
    <row r="22" spans="1:11" x14ac:dyDescent="0.25">
      <c r="A22" s="47" t="s">
        <v>87</v>
      </c>
      <c r="B22" s="47"/>
      <c r="C22" s="47"/>
      <c r="D22" s="47"/>
      <c r="E22" s="47"/>
      <c r="F22" s="18">
        <f>15121.5+47333.7</f>
        <v>62455.199999999997</v>
      </c>
      <c r="G22" s="18">
        <f>37477.6+119222.55</f>
        <v>156700.15</v>
      </c>
      <c r="H22" s="18">
        <f>132492.06+41984.4-262.26</f>
        <v>174214.19999999998</v>
      </c>
      <c r="I22" s="18">
        <f>11029.8+34960.95</f>
        <v>45990.75</v>
      </c>
      <c r="J22" s="39"/>
      <c r="K22" s="6"/>
    </row>
    <row r="23" spans="1:11" x14ac:dyDescent="0.25">
      <c r="F23" s="91">
        <f>SUM(F12:F17)</f>
        <v>325333.16000000003</v>
      </c>
      <c r="G23" s="91">
        <f>SUM(G5:G22)</f>
        <v>3720263.89</v>
      </c>
      <c r="H23" s="91">
        <f>SUM(H5:H22)</f>
        <v>4688206.12</v>
      </c>
      <c r="I23" s="91">
        <f>SUM(I5:I22)</f>
        <v>1239522.54</v>
      </c>
      <c r="J23" s="91">
        <f>SUM(J5:J22)</f>
        <v>1997261.0499999998</v>
      </c>
      <c r="K23" s="91">
        <f>SUM(K5:K22)</f>
        <v>0</v>
      </c>
    </row>
  </sheetData>
  <mergeCells count="19">
    <mergeCell ref="A18:E18"/>
    <mergeCell ref="A20:E20"/>
    <mergeCell ref="A21:E21"/>
    <mergeCell ref="A22:E22"/>
    <mergeCell ref="A17:E17"/>
    <mergeCell ref="A2:E2"/>
    <mergeCell ref="A1:E1"/>
    <mergeCell ref="A13:E13"/>
    <mergeCell ref="A14:E14"/>
    <mergeCell ref="A15:E15"/>
    <mergeCell ref="A16:E16"/>
    <mergeCell ref="A9:E9"/>
    <mergeCell ref="A8:E8"/>
    <mergeCell ref="A5:E5"/>
    <mergeCell ref="A6:E6"/>
    <mergeCell ref="A7:E7"/>
    <mergeCell ref="A10:E10"/>
    <mergeCell ref="A11:E11"/>
    <mergeCell ref="A12:E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40" zoomScaleNormal="140" workbookViewId="0">
      <selection activeCell="B26" sqref="B26"/>
    </sheetView>
  </sheetViews>
  <sheetFormatPr defaultRowHeight="15" x14ac:dyDescent="0.25"/>
  <cols>
    <col min="1" max="1" width="5.5703125" customWidth="1"/>
    <col min="2" max="2" width="105.85546875" customWidth="1"/>
    <col min="3" max="3" width="11.28515625" customWidth="1"/>
    <col min="4" max="4" width="10.42578125" customWidth="1"/>
    <col min="5" max="5" width="10.28515625" customWidth="1"/>
    <col min="7" max="7" width="11.5703125" customWidth="1"/>
    <col min="8" max="8" width="12" customWidth="1"/>
  </cols>
  <sheetData>
    <row r="1" spans="1:8" x14ac:dyDescent="0.25">
      <c r="B1" s="4" t="s">
        <v>62</v>
      </c>
    </row>
    <row r="2" spans="1:8" ht="15.75" thickBot="1" x14ac:dyDescent="0.3">
      <c r="B2" s="3" t="s">
        <v>28</v>
      </c>
    </row>
    <row r="3" spans="1:8" ht="20.100000000000001" customHeight="1" thickBot="1" x14ac:dyDescent="0.3">
      <c r="B3" s="5" t="s">
        <v>14</v>
      </c>
      <c r="C3" s="22" t="s">
        <v>64</v>
      </c>
      <c r="D3" s="23" t="s">
        <v>65</v>
      </c>
      <c r="E3" s="23" t="s">
        <v>66</v>
      </c>
      <c r="F3" s="23" t="s">
        <v>67</v>
      </c>
      <c r="G3" s="94" t="s">
        <v>81</v>
      </c>
      <c r="H3" s="92" t="s">
        <v>69</v>
      </c>
    </row>
    <row r="4" spans="1:8" ht="20.100000000000001" hidden="1" customHeight="1" thickBot="1" x14ac:dyDescent="0.3">
      <c r="B4" s="5"/>
      <c r="C4" s="20">
        <f>4381.71+289.79</f>
        <v>4671.5</v>
      </c>
      <c r="D4" s="21">
        <f>10883.25+1209.1</f>
        <v>12092.35</v>
      </c>
      <c r="E4" s="21">
        <f>13786.66+1668.52</f>
        <v>15455.18</v>
      </c>
      <c r="F4" s="21">
        <f>3729.69+439.11</f>
        <v>4168.8</v>
      </c>
      <c r="G4" s="95">
        <f>SUM(C4:F4)</f>
        <v>36387.83</v>
      </c>
      <c r="H4" s="92"/>
    </row>
    <row r="5" spans="1:8" ht="20.100000000000001" hidden="1" customHeight="1" thickBot="1" x14ac:dyDescent="0.3">
      <c r="B5" s="5"/>
      <c r="C5" s="20">
        <f>4381.71</f>
        <v>4381.71</v>
      </c>
      <c r="D5" s="21">
        <f>10883.25</f>
        <v>10883.25</v>
      </c>
      <c r="E5" s="21">
        <f>13786.66</f>
        <v>13786.66</v>
      </c>
      <c r="F5" s="21">
        <f>3729.69</f>
        <v>3729.69</v>
      </c>
      <c r="G5" s="95">
        <f>SUM(C5:F5)</f>
        <v>32781.31</v>
      </c>
      <c r="H5" s="92"/>
    </row>
    <row r="6" spans="1:8" x14ac:dyDescent="0.25">
      <c r="A6" s="6">
        <v>1</v>
      </c>
      <c r="B6" s="24" t="s">
        <v>18</v>
      </c>
      <c r="C6" s="25">
        <f>'Данные по МКД-6'!F5</f>
        <v>97213.28</v>
      </c>
      <c r="D6" s="25">
        <f>'Данные по МКД-6'!G5</f>
        <v>251748.43</v>
      </c>
      <c r="E6" s="25">
        <f>'Данные по МКД-6'!H5</f>
        <v>321777.19</v>
      </c>
      <c r="F6" s="25">
        <f>'Данные по МКД-6'!I5</f>
        <v>86794.5</v>
      </c>
      <c r="G6" s="25">
        <f>'Данные по МКД-6'!J5</f>
        <v>191543.36000000002</v>
      </c>
      <c r="H6" s="93">
        <f>SUM(C6:G6)</f>
        <v>949076.75999999989</v>
      </c>
    </row>
    <row r="7" spans="1:8" x14ac:dyDescent="0.25">
      <c r="A7" s="6">
        <v>2</v>
      </c>
      <c r="B7" s="24" t="s">
        <v>27</v>
      </c>
      <c r="C7" s="25">
        <f>'Данные по МКД-6'!F6</f>
        <v>559636.60000000009</v>
      </c>
      <c r="D7" s="25">
        <f>'Данные по МКД-6'!G6</f>
        <v>1449565.58</v>
      </c>
      <c r="E7" s="25">
        <f>'Данные по МКД-6'!H6</f>
        <v>1852768.7899999998</v>
      </c>
      <c r="F7" s="25">
        <f>'Данные по МКД-6'!I6</f>
        <v>499755.71</v>
      </c>
      <c r="G7" s="25">
        <f>'Данные по МКД-6'!J6</f>
        <v>948271.75</v>
      </c>
      <c r="H7" s="93">
        <f t="shared" ref="H7:H23" si="0">SUM(C7:G7)</f>
        <v>5309998.43</v>
      </c>
    </row>
    <row r="8" spans="1:8" x14ac:dyDescent="0.25">
      <c r="A8" s="6">
        <v>3</v>
      </c>
      <c r="B8" s="24" t="s">
        <v>17</v>
      </c>
      <c r="C8" s="25">
        <f>'Данные по МКД-6'!F7</f>
        <v>0</v>
      </c>
      <c r="D8" s="25">
        <f>'Данные по МКД-6'!G7</f>
        <v>0</v>
      </c>
      <c r="E8" s="25">
        <f>'Данные по МКД-6'!H7</f>
        <v>0</v>
      </c>
      <c r="F8" s="25">
        <f>'Данные по МКД-6'!I7</f>
        <v>0</v>
      </c>
      <c r="G8" s="25">
        <f>'Данные по МКД-6'!J7</f>
        <v>0</v>
      </c>
      <c r="H8" s="93">
        <f t="shared" si="0"/>
        <v>0</v>
      </c>
    </row>
    <row r="9" spans="1:8" x14ac:dyDescent="0.25">
      <c r="A9" s="6">
        <v>4</v>
      </c>
      <c r="B9" s="24" t="s">
        <v>20</v>
      </c>
      <c r="C9" s="25">
        <f>'Данные по МКД-6'!F8</f>
        <v>0</v>
      </c>
      <c r="D9" s="25">
        <f>'Данные по МКД-6'!G8</f>
        <v>0</v>
      </c>
      <c r="E9" s="25">
        <f>'Данные по МКД-6'!H8</f>
        <v>0</v>
      </c>
      <c r="F9" s="25">
        <f>'Данные по МКД-6'!I8</f>
        <v>0</v>
      </c>
      <c r="G9" s="25">
        <f>'Данные по МКД-6'!J8</f>
        <v>0</v>
      </c>
      <c r="H9" s="93">
        <f t="shared" si="0"/>
        <v>0</v>
      </c>
    </row>
    <row r="10" spans="1:8" x14ac:dyDescent="0.25">
      <c r="A10" s="6">
        <v>5</v>
      </c>
      <c r="B10" s="24" t="s">
        <v>21</v>
      </c>
      <c r="C10" s="25">
        <f>'Данные по МКД-6'!F9</f>
        <v>0</v>
      </c>
      <c r="D10" s="25">
        <f>'Данные по МКД-6'!G9</f>
        <v>0</v>
      </c>
      <c r="E10" s="25">
        <f>'Данные по МКД-6'!H9</f>
        <v>0</v>
      </c>
      <c r="F10" s="25">
        <f>'Данные по МКД-6'!I9</f>
        <v>0</v>
      </c>
      <c r="G10" s="25">
        <f>'Данные по МКД-6'!J9</f>
        <v>0</v>
      </c>
      <c r="H10" s="93">
        <f t="shared" si="0"/>
        <v>0</v>
      </c>
    </row>
    <row r="11" spans="1:8" ht="14.45" customHeight="1" x14ac:dyDescent="0.25">
      <c r="A11" s="6">
        <v>6</v>
      </c>
      <c r="B11" s="24" t="s">
        <v>26</v>
      </c>
      <c r="C11" s="25">
        <f>'Данные по МКД-6'!F10</f>
        <v>0</v>
      </c>
      <c r="D11" s="25">
        <f>'Данные по МКД-6'!G10</f>
        <v>0</v>
      </c>
      <c r="E11" s="25">
        <f>'Данные по МКД-6'!H10</f>
        <v>0</v>
      </c>
      <c r="F11" s="25">
        <f>'Данные по МКД-6'!I10</f>
        <v>0</v>
      </c>
      <c r="G11" s="25">
        <f>'Данные по МКД-6'!J10</f>
        <v>0</v>
      </c>
      <c r="H11" s="93">
        <f t="shared" si="0"/>
        <v>0</v>
      </c>
    </row>
    <row r="12" spans="1:8" ht="14.45" customHeight="1" x14ac:dyDescent="0.25">
      <c r="A12" s="6">
        <v>7</v>
      </c>
      <c r="B12" s="24" t="s">
        <v>25</v>
      </c>
      <c r="C12" s="25">
        <f>'Данные по МКД-6'!F11</f>
        <v>0</v>
      </c>
      <c r="D12" s="25">
        <f>'Данные по МКД-6'!G11</f>
        <v>0</v>
      </c>
      <c r="E12" s="25">
        <f>'Данные по МКД-6'!H11</f>
        <v>0</v>
      </c>
      <c r="F12" s="25">
        <f>'Данные по МКД-6'!I11</f>
        <v>0</v>
      </c>
      <c r="G12" s="25">
        <f>'Данные по МКД-6'!J11</f>
        <v>0</v>
      </c>
      <c r="H12" s="93">
        <f t="shared" si="0"/>
        <v>0</v>
      </c>
    </row>
    <row r="13" spans="1:8" x14ac:dyDescent="0.25">
      <c r="A13" s="6">
        <v>8</v>
      </c>
      <c r="B13" s="24" t="s">
        <v>16</v>
      </c>
      <c r="C13" s="25">
        <f>'Данные по МКД-6'!F12</f>
        <v>73385.34</v>
      </c>
      <c r="D13" s="25">
        <f>'Данные по МКД-6'!G12</f>
        <v>190081.64</v>
      </c>
      <c r="E13" s="25">
        <f>'Данные по МКД-6'!H12</f>
        <v>242956.2</v>
      </c>
      <c r="F13" s="25">
        <f>'Данные по МКД-6'!I12</f>
        <v>65533.75</v>
      </c>
      <c r="G13" s="25">
        <f>'Данные по МКД-6'!J12</f>
        <v>0</v>
      </c>
      <c r="H13" s="93">
        <f t="shared" si="0"/>
        <v>571956.92999999993</v>
      </c>
    </row>
    <row r="14" spans="1:8" x14ac:dyDescent="0.25">
      <c r="A14" s="6">
        <v>9</v>
      </c>
      <c r="B14" s="24" t="s">
        <v>15</v>
      </c>
      <c r="C14" s="25">
        <f>'Данные по МКД-6'!F13</f>
        <v>112176.48000000001</v>
      </c>
      <c r="D14" s="25">
        <f>'Данные по МКД-6'!G13</f>
        <v>243567.35999999999</v>
      </c>
      <c r="E14" s="25">
        <f>'Данные по МКД-6'!H13</f>
        <v>388784.68</v>
      </c>
      <c r="F14" s="25">
        <f>'Данные по МКД-6'!I13</f>
        <v>97568.76</v>
      </c>
      <c r="G14" s="25">
        <f>'Данные по МКД-6'!J13</f>
        <v>125472.37000000001</v>
      </c>
      <c r="H14" s="93">
        <f t="shared" si="0"/>
        <v>967569.65</v>
      </c>
    </row>
    <row r="15" spans="1:8" x14ac:dyDescent="0.25">
      <c r="A15" s="6">
        <v>10</v>
      </c>
      <c r="B15" s="24" t="s">
        <v>24</v>
      </c>
      <c r="C15" s="25">
        <f>'Данные по МКД-6'!F14</f>
        <v>23808.339999999997</v>
      </c>
      <c r="D15" s="25">
        <f>'Данные по МКД-6'!G14</f>
        <v>0</v>
      </c>
      <c r="E15" s="25">
        <f>'Данные по МКД-6'!H14</f>
        <v>0</v>
      </c>
      <c r="F15" s="25">
        <f>'Данные по МКД-6'!I14</f>
        <v>0</v>
      </c>
      <c r="G15" s="25">
        <f>'Данные по МКД-6'!J14</f>
        <v>0</v>
      </c>
      <c r="H15" s="93">
        <f t="shared" si="0"/>
        <v>23808.339999999997</v>
      </c>
    </row>
    <row r="16" spans="1:8" x14ac:dyDescent="0.25">
      <c r="A16" s="6">
        <v>11</v>
      </c>
      <c r="B16" s="24" t="s">
        <v>23</v>
      </c>
      <c r="C16" s="25">
        <f>'Данные по МКД-6'!F15</f>
        <v>0</v>
      </c>
      <c r="D16" s="25">
        <f>'Данные по МКД-6'!G15</f>
        <v>0</v>
      </c>
      <c r="E16" s="25">
        <f>'Данные по МКД-6'!H15</f>
        <v>0</v>
      </c>
      <c r="F16" s="25">
        <f>'Данные по МКД-6'!I15</f>
        <v>0</v>
      </c>
      <c r="G16" s="25">
        <f>'Данные по МКД-6'!J15</f>
        <v>0</v>
      </c>
      <c r="H16" s="93">
        <f t="shared" si="0"/>
        <v>0</v>
      </c>
    </row>
    <row r="17" spans="1:8" x14ac:dyDescent="0.25">
      <c r="A17" s="6">
        <v>12</v>
      </c>
      <c r="B17" s="24" t="s">
        <v>22</v>
      </c>
      <c r="C17" s="25">
        <f>'Данные по МКД-6'!F16</f>
        <v>33893.919999999998</v>
      </c>
      <c r="D17" s="25">
        <f>'Данные по МКД-6'!G16</f>
        <v>87787.08</v>
      </c>
      <c r="E17" s="25">
        <f>'Данные по МКД-6'!H16</f>
        <v>112208.26000000001</v>
      </c>
      <c r="F17" s="25">
        <f>'Данные по МКД-6'!I16</f>
        <v>30266.230000000003</v>
      </c>
      <c r="G17" s="25">
        <f>'Данные по МКД-6'!J16</f>
        <v>0</v>
      </c>
      <c r="H17" s="93">
        <f t="shared" si="0"/>
        <v>264155.49</v>
      </c>
    </row>
    <row r="18" spans="1:8" ht="14.45" customHeight="1" x14ac:dyDescent="0.25">
      <c r="A18" s="6">
        <v>13</v>
      </c>
      <c r="B18" s="24" t="s">
        <v>19</v>
      </c>
      <c r="C18" s="25">
        <f>'Данные по МКД-6'!F17</f>
        <v>82069.08</v>
      </c>
      <c r="D18" s="25">
        <f>'Данные по МКД-6'!G17</f>
        <v>212573.56</v>
      </c>
      <c r="E18" s="25">
        <f>'Данные по МКД-6'!H17</f>
        <v>271703.05</v>
      </c>
      <c r="F18" s="25">
        <f>'Данные по МКД-6'!I17</f>
        <v>73287.67</v>
      </c>
      <c r="G18" s="25">
        <f>'Данные по МКД-6'!J17</f>
        <v>138858.9</v>
      </c>
      <c r="H18" s="93">
        <f t="shared" si="0"/>
        <v>778492.26</v>
      </c>
    </row>
    <row r="19" spans="1:8" x14ac:dyDescent="0.25">
      <c r="B19" s="42" t="s">
        <v>84</v>
      </c>
      <c r="C19" s="25">
        <f>'Данные по МКД-6'!F18</f>
        <v>305873.06</v>
      </c>
      <c r="D19" s="25">
        <f>'Данные по МКД-6'!G18</f>
        <v>792252.92999999993</v>
      </c>
      <c r="E19" s="25">
        <f>'Данные по МКД-6'!H18</f>
        <v>1012622.7000000001</v>
      </c>
      <c r="F19" s="25">
        <f>'Данные по МКД-6'!I18</f>
        <v>273139.8</v>
      </c>
      <c r="G19" s="25">
        <f>'Данные по МКД-6'!J18</f>
        <v>527199.28999999992</v>
      </c>
      <c r="H19" s="93">
        <f t="shared" si="0"/>
        <v>2911087.78</v>
      </c>
    </row>
    <row r="20" spans="1:8" x14ac:dyDescent="0.25">
      <c r="B20" s="43" t="s">
        <v>88</v>
      </c>
      <c r="C20" s="25"/>
      <c r="D20" s="25"/>
      <c r="E20" s="25"/>
      <c r="F20" s="25"/>
      <c r="G20" s="25">
        <f>'Данные по МКД-6'!J19</f>
        <v>23492.73</v>
      </c>
      <c r="H20" s="93">
        <f t="shared" si="0"/>
        <v>23492.73</v>
      </c>
    </row>
    <row r="21" spans="1:8" x14ac:dyDescent="0.25">
      <c r="B21" s="42" t="s">
        <v>85</v>
      </c>
      <c r="C21" s="25">
        <f>'Данные по МКД-6'!F20</f>
        <v>33892.42</v>
      </c>
      <c r="D21" s="25">
        <f>'Данные по МКД-6'!G20</f>
        <v>87787.16</v>
      </c>
      <c r="E21" s="25">
        <f>'Данные по МКД-6'!H20</f>
        <v>112206.05</v>
      </c>
      <c r="F21" s="25">
        <f>'Данные по МКД-6'!I20</f>
        <v>30265.370000000003</v>
      </c>
      <c r="G21" s="25">
        <f>'Данные по МКД-6'!J20</f>
        <v>42422.65</v>
      </c>
      <c r="H21" s="93">
        <f t="shared" si="0"/>
        <v>306573.65000000002</v>
      </c>
    </row>
    <row r="22" spans="1:8" x14ac:dyDescent="0.25">
      <c r="B22" s="42" t="s">
        <v>86</v>
      </c>
      <c r="C22" s="25">
        <f>'Данные по МКД-6'!F21</f>
        <v>74700</v>
      </c>
      <c r="D22" s="25">
        <f>'Данные по МКД-6'!G21</f>
        <v>248200</v>
      </c>
      <c r="E22" s="25">
        <f>'Данные по МКД-6'!H21</f>
        <v>198965</v>
      </c>
      <c r="F22" s="25">
        <f>'Данные по МКД-6'!I21</f>
        <v>36920</v>
      </c>
      <c r="G22" s="25">
        <f>'Данные по МКД-6'!J21</f>
        <v>0</v>
      </c>
      <c r="H22" s="93">
        <f t="shared" si="0"/>
        <v>558785</v>
      </c>
    </row>
    <row r="23" spans="1:8" x14ac:dyDescent="0.25">
      <c r="B23" s="42" t="s">
        <v>87</v>
      </c>
      <c r="C23" s="25">
        <f>'Данные по МКД-6'!F22</f>
        <v>62455.199999999997</v>
      </c>
      <c r="D23" s="25">
        <f>'Данные по МКД-6'!G22</f>
        <v>156700.15</v>
      </c>
      <c r="E23" s="25">
        <f>'Данные по МКД-6'!H22</f>
        <v>174214.19999999998</v>
      </c>
      <c r="F23" s="25">
        <f>'Данные по МКД-6'!I22</f>
        <v>45990.75</v>
      </c>
      <c r="G23" s="25">
        <f>'Данные по МКД-6'!J22</f>
        <v>0</v>
      </c>
      <c r="H23" s="93">
        <f t="shared" si="0"/>
        <v>439360.29999999993</v>
      </c>
    </row>
    <row r="24" spans="1:8" x14ac:dyDescent="0.25">
      <c r="H24" s="9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5" zoomScale="120" zoomScaleNormal="120" workbookViewId="0">
      <selection activeCell="E39" sqref="E39"/>
    </sheetView>
  </sheetViews>
  <sheetFormatPr defaultColWidth="18.140625" defaultRowHeight="15" x14ac:dyDescent="0.25"/>
  <cols>
    <col min="1" max="1" width="3.140625" customWidth="1"/>
    <col min="2" max="2" width="75.42578125" customWidth="1"/>
    <col min="3" max="3" width="18.42578125" customWidth="1"/>
    <col min="8" max="8" width="0" style="14" hidden="1" customWidth="1"/>
    <col min="9" max="9" width="15.85546875" customWidth="1"/>
    <col min="10" max="38" width="8.140625" customWidth="1"/>
  </cols>
  <sheetData>
    <row r="1" spans="1:9" x14ac:dyDescent="0.25">
      <c r="B1" s="4" t="s">
        <v>78</v>
      </c>
      <c r="C1" s="49" t="s">
        <v>63</v>
      </c>
      <c r="D1" s="49"/>
      <c r="E1" s="49"/>
      <c r="F1" s="49"/>
      <c r="G1" s="49"/>
    </row>
    <row r="2" spans="1:9" x14ac:dyDescent="0.25">
      <c r="B2" s="4" t="s">
        <v>50</v>
      </c>
      <c r="C2" s="9" t="s">
        <v>64</v>
      </c>
      <c r="D2" s="9" t="s">
        <v>65</v>
      </c>
      <c r="E2" s="9" t="s">
        <v>66</v>
      </c>
      <c r="F2" s="9" t="s">
        <v>67</v>
      </c>
      <c r="G2" s="10" t="s">
        <v>81</v>
      </c>
      <c r="I2" s="6" t="s">
        <v>69</v>
      </c>
    </row>
    <row r="3" spans="1:9" ht="14.45" customHeight="1" x14ac:dyDescent="0.25">
      <c r="A3" s="6">
        <v>1</v>
      </c>
      <c r="B3" s="1" t="s">
        <v>0</v>
      </c>
      <c r="C3" s="30">
        <v>5576.32</v>
      </c>
      <c r="D3" s="30">
        <v>0</v>
      </c>
      <c r="E3" s="30">
        <v>27214.74</v>
      </c>
      <c r="F3" s="30">
        <v>1999.15</v>
      </c>
      <c r="G3" s="27">
        <v>0</v>
      </c>
      <c r="I3" s="6"/>
    </row>
    <row r="4" spans="1:9" ht="14.45" customHeight="1" x14ac:dyDescent="0.25">
      <c r="A4" s="6">
        <v>2</v>
      </c>
      <c r="B4" s="1" t="s">
        <v>1</v>
      </c>
      <c r="C4" s="30"/>
      <c r="D4" s="30"/>
      <c r="E4" s="30"/>
      <c r="F4" s="30"/>
      <c r="G4" s="27"/>
      <c r="I4" s="6"/>
    </row>
    <row r="5" spans="1:9" ht="14.45" customHeight="1" x14ac:dyDescent="0.25">
      <c r="A5" s="6">
        <v>3</v>
      </c>
      <c r="B5" s="1" t="s">
        <v>2</v>
      </c>
      <c r="C5" s="30">
        <v>436207.22</v>
      </c>
      <c r="D5" s="30">
        <v>1388246.95</v>
      </c>
      <c r="E5" s="30">
        <v>2451047.61</v>
      </c>
      <c r="F5" s="30">
        <v>520677.8</v>
      </c>
      <c r="G5" s="27">
        <v>0</v>
      </c>
      <c r="H5" s="15">
        <f>9584576-G5</f>
        <v>9584576</v>
      </c>
      <c r="I5" s="6"/>
    </row>
    <row r="6" spans="1:9" ht="14.45" customHeight="1" x14ac:dyDescent="0.25">
      <c r="A6" s="6">
        <v>4</v>
      </c>
      <c r="B6" s="2" t="s">
        <v>3</v>
      </c>
      <c r="C6" s="31"/>
      <c r="D6" s="31"/>
      <c r="E6" s="31"/>
      <c r="F6" s="31"/>
      <c r="G6" s="27"/>
      <c r="I6" s="6"/>
    </row>
    <row r="7" spans="1:9" ht="14.45" customHeight="1" x14ac:dyDescent="0.25">
      <c r="A7" s="6"/>
      <c r="B7" s="24" t="s">
        <v>18</v>
      </c>
      <c r="C7" s="31">
        <f>'Данные по МКД-2'!C6</f>
        <v>97213.28</v>
      </c>
      <c r="D7" s="31">
        <f>'Данные по МКД-2'!D6</f>
        <v>251748.43</v>
      </c>
      <c r="E7" s="31">
        <f>'Данные по МКД-2'!E6</f>
        <v>321777.19</v>
      </c>
      <c r="F7" s="31">
        <f>'Данные по МКД-2'!F6</f>
        <v>86794.5</v>
      </c>
      <c r="G7" s="31">
        <f>'Данные по МКД-2'!G6</f>
        <v>191543.36000000002</v>
      </c>
      <c r="I7" s="6"/>
    </row>
    <row r="8" spans="1:9" ht="14.45" customHeight="1" x14ac:dyDescent="0.25">
      <c r="A8" s="6"/>
      <c r="B8" s="24" t="s">
        <v>27</v>
      </c>
      <c r="C8" s="31">
        <f>'Данные по МКД-2'!C7</f>
        <v>559636.60000000009</v>
      </c>
      <c r="D8" s="31">
        <f>'Данные по МКД-2'!D7</f>
        <v>1449565.58</v>
      </c>
      <c r="E8" s="31">
        <f>'Данные по МКД-2'!E7</f>
        <v>1852768.7899999998</v>
      </c>
      <c r="F8" s="31">
        <f>'Данные по МКД-2'!F7</f>
        <v>499755.71</v>
      </c>
      <c r="G8" s="31">
        <f>'Данные по МКД-2'!G7</f>
        <v>948271.75</v>
      </c>
      <c r="I8" s="6"/>
    </row>
    <row r="9" spans="1:9" ht="14.45" customHeight="1" x14ac:dyDescent="0.25">
      <c r="A9" s="6"/>
      <c r="B9" s="24" t="s">
        <v>17</v>
      </c>
      <c r="C9" s="31">
        <f>'Данные по МКД-2'!C8</f>
        <v>0</v>
      </c>
      <c r="D9" s="31">
        <f>'Данные по МКД-2'!D8</f>
        <v>0</v>
      </c>
      <c r="E9" s="31">
        <f>'Данные по МКД-2'!E8</f>
        <v>0</v>
      </c>
      <c r="F9" s="31">
        <f>'Данные по МКД-2'!F8</f>
        <v>0</v>
      </c>
      <c r="G9" s="31">
        <f>'Данные по МКД-2'!G8</f>
        <v>0</v>
      </c>
      <c r="I9" s="6"/>
    </row>
    <row r="10" spans="1:9" ht="14.45" customHeight="1" x14ac:dyDescent="0.25">
      <c r="A10" s="6"/>
      <c r="B10" s="24" t="s">
        <v>20</v>
      </c>
      <c r="C10" s="31">
        <f>'Данные по МКД-2'!C9</f>
        <v>0</v>
      </c>
      <c r="D10" s="31">
        <f>'Данные по МКД-2'!D9</f>
        <v>0</v>
      </c>
      <c r="E10" s="31">
        <f>'Данные по МКД-2'!E9</f>
        <v>0</v>
      </c>
      <c r="F10" s="31">
        <f>'Данные по МКД-2'!F9</f>
        <v>0</v>
      </c>
      <c r="G10" s="31">
        <f>'Данные по МКД-2'!G9</f>
        <v>0</v>
      </c>
      <c r="I10" s="6"/>
    </row>
    <row r="11" spans="1:9" ht="14.45" customHeight="1" x14ac:dyDescent="0.25">
      <c r="A11" s="6"/>
      <c r="B11" s="24" t="s">
        <v>21</v>
      </c>
      <c r="C11" s="31">
        <f>'Данные по МКД-2'!C10</f>
        <v>0</v>
      </c>
      <c r="D11" s="31">
        <f>'Данные по МКД-2'!D10</f>
        <v>0</v>
      </c>
      <c r="E11" s="31">
        <f>'Данные по МКД-2'!E10</f>
        <v>0</v>
      </c>
      <c r="F11" s="31">
        <f>'Данные по МКД-2'!F10</f>
        <v>0</v>
      </c>
      <c r="G11" s="31">
        <f>'Данные по МКД-2'!G10</f>
        <v>0</v>
      </c>
      <c r="I11" s="6"/>
    </row>
    <row r="12" spans="1:9" ht="14.45" customHeight="1" x14ac:dyDescent="0.25">
      <c r="A12" s="6"/>
      <c r="B12" s="24" t="s">
        <v>26</v>
      </c>
      <c r="C12" s="31">
        <f>'Данные по МКД-2'!C11</f>
        <v>0</v>
      </c>
      <c r="D12" s="31">
        <f>'Данные по МКД-2'!D11</f>
        <v>0</v>
      </c>
      <c r="E12" s="31">
        <f>'Данные по МКД-2'!E11</f>
        <v>0</v>
      </c>
      <c r="F12" s="31">
        <f>'Данные по МКД-2'!F11</f>
        <v>0</v>
      </c>
      <c r="G12" s="31">
        <f>'Данные по МКД-2'!G11</f>
        <v>0</v>
      </c>
      <c r="I12" s="6"/>
    </row>
    <row r="13" spans="1:9" ht="14.45" customHeight="1" x14ac:dyDescent="0.25">
      <c r="A13" s="6"/>
      <c r="B13" s="24" t="s">
        <v>25</v>
      </c>
      <c r="C13" s="31">
        <f>'Данные по МКД-2'!C12</f>
        <v>0</v>
      </c>
      <c r="D13" s="31">
        <f>'Данные по МКД-2'!D12</f>
        <v>0</v>
      </c>
      <c r="E13" s="31">
        <f>'Данные по МКД-2'!E12</f>
        <v>0</v>
      </c>
      <c r="F13" s="31">
        <f>'Данные по МКД-2'!F12</f>
        <v>0</v>
      </c>
      <c r="G13" s="31">
        <f>'Данные по МКД-2'!G12</f>
        <v>0</v>
      </c>
      <c r="I13" s="6"/>
    </row>
    <row r="14" spans="1:9" ht="14.45" customHeight="1" x14ac:dyDescent="0.25">
      <c r="A14" s="6"/>
      <c r="B14" s="24" t="s">
        <v>16</v>
      </c>
      <c r="C14" s="31">
        <f>'Данные по МКД-2'!C13</f>
        <v>73385.34</v>
      </c>
      <c r="D14" s="31">
        <f>'Данные по МКД-2'!D13</f>
        <v>190081.64</v>
      </c>
      <c r="E14" s="31">
        <f>'Данные по МКД-2'!E13</f>
        <v>242956.2</v>
      </c>
      <c r="F14" s="31">
        <f>'Данные по МКД-2'!F13</f>
        <v>65533.75</v>
      </c>
      <c r="G14" s="31">
        <f>'Данные по МКД-2'!G13</f>
        <v>0</v>
      </c>
      <c r="I14" s="6"/>
    </row>
    <row r="15" spans="1:9" ht="14.45" customHeight="1" x14ac:dyDescent="0.25">
      <c r="A15" s="6"/>
      <c r="B15" s="24" t="s">
        <v>15</v>
      </c>
      <c r="C15" s="31">
        <f>'Данные по МКД-2'!C14</f>
        <v>112176.48000000001</v>
      </c>
      <c r="D15" s="31">
        <f>'Данные по МКД-2'!D14</f>
        <v>243567.35999999999</v>
      </c>
      <c r="E15" s="31">
        <f>'Данные по МКД-2'!E14</f>
        <v>388784.68</v>
      </c>
      <c r="F15" s="31">
        <f>'Данные по МКД-2'!F14</f>
        <v>97568.76</v>
      </c>
      <c r="G15" s="31">
        <f>'Данные по МКД-2'!G14</f>
        <v>125472.37000000001</v>
      </c>
      <c r="I15" s="6"/>
    </row>
    <row r="16" spans="1:9" ht="14.45" customHeight="1" x14ac:dyDescent="0.25">
      <c r="A16" s="6"/>
      <c r="B16" s="24" t="s">
        <v>24</v>
      </c>
      <c r="C16" s="31">
        <f>'Данные по МКД-2'!C15</f>
        <v>23808.339999999997</v>
      </c>
      <c r="D16" s="31">
        <f>'Данные по МКД-2'!D15</f>
        <v>0</v>
      </c>
      <c r="E16" s="31">
        <f>'Данные по МКД-2'!E15</f>
        <v>0</v>
      </c>
      <c r="F16" s="31">
        <f>'Данные по МКД-2'!F15</f>
        <v>0</v>
      </c>
      <c r="G16" s="31">
        <f>'Данные по МКД-2'!G15</f>
        <v>0</v>
      </c>
      <c r="I16" s="6"/>
    </row>
    <row r="17" spans="1:9" ht="14.45" customHeight="1" x14ac:dyDescent="0.25">
      <c r="A17" s="6"/>
      <c r="B17" s="24" t="s">
        <v>23</v>
      </c>
      <c r="C17" s="31">
        <f>'Данные по МКД-2'!C16</f>
        <v>0</v>
      </c>
      <c r="D17" s="31">
        <f>'Данные по МКД-2'!D16</f>
        <v>0</v>
      </c>
      <c r="E17" s="31">
        <f>'Данные по МКД-2'!E16</f>
        <v>0</v>
      </c>
      <c r="F17" s="31">
        <f>'Данные по МКД-2'!F16</f>
        <v>0</v>
      </c>
      <c r="G17" s="31">
        <f>'Данные по МКД-2'!G16</f>
        <v>0</v>
      </c>
      <c r="I17" s="6"/>
    </row>
    <row r="18" spans="1:9" ht="14.45" customHeight="1" x14ac:dyDescent="0.25">
      <c r="A18" s="6"/>
      <c r="B18" s="24" t="s">
        <v>22</v>
      </c>
      <c r="C18" s="31">
        <f>'Данные по МКД-2'!C17</f>
        <v>33893.919999999998</v>
      </c>
      <c r="D18" s="31">
        <f>'Данные по МКД-2'!D17</f>
        <v>87787.08</v>
      </c>
      <c r="E18" s="31">
        <f>'Данные по МКД-2'!E17</f>
        <v>112208.26000000001</v>
      </c>
      <c r="F18" s="31">
        <f>'Данные по МКД-2'!F17</f>
        <v>30266.230000000003</v>
      </c>
      <c r="G18" s="31">
        <f>'Данные по МКД-2'!G17</f>
        <v>0</v>
      </c>
      <c r="I18" s="6"/>
    </row>
    <row r="19" spans="1:9" ht="14.45" customHeight="1" x14ac:dyDescent="0.25">
      <c r="A19" s="6"/>
      <c r="B19" s="24" t="s">
        <v>19</v>
      </c>
      <c r="C19" s="31">
        <f>'Данные по МКД-2'!C18</f>
        <v>82069.08</v>
      </c>
      <c r="D19" s="31">
        <f>'Данные по МКД-2'!D18</f>
        <v>212573.56</v>
      </c>
      <c r="E19" s="31">
        <f>'Данные по МКД-2'!E18</f>
        <v>271703.05</v>
      </c>
      <c r="F19" s="31">
        <f>'Данные по МКД-2'!F18</f>
        <v>73287.67</v>
      </c>
      <c r="G19" s="31">
        <f>'Данные по МКД-2'!G18</f>
        <v>138858.9</v>
      </c>
      <c r="I19" s="6"/>
    </row>
    <row r="20" spans="1:9" ht="14.45" customHeight="1" x14ac:dyDescent="0.25">
      <c r="A20" s="6"/>
      <c r="B20" s="42" t="s">
        <v>84</v>
      </c>
      <c r="C20" s="31">
        <f>'Данные по МКД-2'!C19</f>
        <v>305873.06</v>
      </c>
      <c r="D20" s="31">
        <f>'Данные по МКД-2'!D19</f>
        <v>792252.92999999993</v>
      </c>
      <c r="E20" s="31">
        <f>'Данные по МКД-2'!E19</f>
        <v>1012622.7000000001</v>
      </c>
      <c r="F20" s="31">
        <f>'Данные по МКД-2'!F19</f>
        <v>273139.8</v>
      </c>
      <c r="G20" s="31">
        <f>'Данные по МКД-2'!G19</f>
        <v>527199.28999999992</v>
      </c>
      <c r="I20" s="6"/>
    </row>
    <row r="21" spans="1:9" ht="14.45" customHeight="1" x14ac:dyDescent="0.25">
      <c r="A21" s="6"/>
      <c r="B21" s="45" t="s">
        <v>88</v>
      </c>
      <c r="C21" s="31"/>
      <c r="D21" s="31"/>
      <c r="E21" s="31"/>
      <c r="F21" s="31"/>
      <c r="G21" s="31">
        <f>'Данные по МКД-2'!G20</f>
        <v>23492.73</v>
      </c>
      <c r="I21" s="6"/>
    </row>
    <row r="22" spans="1:9" ht="14.45" customHeight="1" x14ac:dyDescent="0.25">
      <c r="A22" s="6"/>
      <c r="B22" s="42" t="s">
        <v>85</v>
      </c>
      <c r="C22" s="31">
        <f>'Данные по МКД-2'!C21</f>
        <v>33892.42</v>
      </c>
      <c r="D22" s="31">
        <f>'Данные по МКД-2'!D21</f>
        <v>87787.16</v>
      </c>
      <c r="E22" s="31">
        <f>'Данные по МКД-2'!E21</f>
        <v>112206.05</v>
      </c>
      <c r="F22" s="31">
        <f>'Данные по МКД-2'!F21</f>
        <v>30265.370000000003</v>
      </c>
      <c r="G22" s="31">
        <f>'Данные по МКД-2'!G21</f>
        <v>42422.65</v>
      </c>
      <c r="I22" s="6"/>
    </row>
    <row r="23" spans="1:9" ht="14.45" customHeight="1" x14ac:dyDescent="0.25">
      <c r="A23" s="6"/>
      <c r="B23" s="42" t="s">
        <v>86</v>
      </c>
      <c r="C23" s="31">
        <f>'Данные по МКД-2'!C22</f>
        <v>74700</v>
      </c>
      <c r="D23" s="31">
        <f>'Данные по МКД-2'!D22</f>
        <v>248200</v>
      </c>
      <c r="E23" s="31">
        <f>'Данные по МКД-2'!E22</f>
        <v>198965</v>
      </c>
      <c r="F23" s="31">
        <f>'Данные по МКД-2'!F22</f>
        <v>36920</v>
      </c>
      <c r="G23" s="31">
        <f>'Данные по МКД-2'!G22</f>
        <v>0</v>
      </c>
      <c r="I23" s="6"/>
    </row>
    <row r="24" spans="1:9" ht="14.45" customHeight="1" x14ac:dyDescent="0.25">
      <c r="A24" s="6"/>
      <c r="B24" s="42" t="s">
        <v>87</v>
      </c>
      <c r="C24" s="31">
        <f>'Данные по МКД-2'!C23</f>
        <v>62455.199999999997</v>
      </c>
      <c r="D24" s="31">
        <f>'Данные по МКД-2'!D23</f>
        <v>156700.15</v>
      </c>
      <c r="E24" s="31">
        <f>'Данные по МКД-2'!E23</f>
        <v>174214.19999999998</v>
      </c>
      <c r="F24" s="31">
        <f>'Данные по МКД-2'!F23</f>
        <v>45990.75</v>
      </c>
      <c r="G24" s="31">
        <f>'Данные по МКД-2'!G23</f>
        <v>0</v>
      </c>
      <c r="I24" s="6"/>
    </row>
    <row r="25" spans="1:9" ht="14.45" customHeight="1" x14ac:dyDescent="0.25">
      <c r="A25" s="6">
        <v>5</v>
      </c>
      <c r="B25" s="2" t="s">
        <v>4</v>
      </c>
      <c r="C25" s="31"/>
      <c r="D25" s="31"/>
      <c r="E25" s="31"/>
      <c r="F25" s="31"/>
      <c r="G25" s="31"/>
      <c r="I25" s="6"/>
    </row>
    <row r="26" spans="1:9" ht="14.45" customHeight="1" x14ac:dyDescent="0.25">
      <c r="A26" s="6"/>
      <c r="B26" s="1" t="s">
        <v>5</v>
      </c>
      <c r="C26" s="31">
        <v>1379175.98</v>
      </c>
      <c r="D26" s="31">
        <v>3346074.07</v>
      </c>
      <c r="E26" s="31">
        <v>4440976.37</v>
      </c>
      <c r="F26" s="31">
        <v>1084185.54</v>
      </c>
      <c r="G26" s="31">
        <v>1596841.76</v>
      </c>
      <c r="H26" s="15">
        <f>4402729+18957145-G26</f>
        <v>21763032.239999998</v>
      </c>
      <c r="I26" s="6"/>
    </row>
    <row r="27" spans="1:9" ht="14.45" customHeight="1" x14ac:dyDescent="0.25">
      <c r="A27" s="6"/>
      <c r="B27" s="1" t="s">
        <v>6</v>
      </c>
      <c r="C27" s="31">
        <v>0</v>
      </c>
      <c r="D27" s="31">
        <v>0</v>
      </c>
      <c r="E27" s="31"/>
      <c r="F27" s="31"/>
      <c r="G27" s="27"/>
      <c r="I27" s="6"/>
    </row>
    <row r="28" spans="1:9" ht="14.45" customHeight="1" x14ac:dyDescent="0.25">
      <c r="A28" s="6"/>
      <c r="B28" s="1" t="s">
        <v>7</v>
      </c>
      <c r="C28" s="31">
        <v>0</v>
      </c>
      <c r="D28" s="31">
        <v>0</v>
      </c>
      <c r="E28" s="31"/>
      <c r="F28" s="31"/>
      <c r="G28" s="27"/>
      <c r="I28" s="6"/>
    </row>
    <row r="29" spans="1:9" ht="14.45" customHeight="1" x14ac:dyDescent="0.25">
      <c r="A29" s="6"/>
      <c r="B29" s="1" t="s">
        <v>8</v>
      </c>
      <c r="C29" s="31">
        <v>0</v>
      </c>
      <c r="D29" s="31">
        <v>0</v>
      </c>
      <c r="E29" s="31"/>
      <c r="F29" s="31"/>
      <c r="G29" s="27"/>
      <c r="I29" s="6"/>
    </row>
    <row r="30" spans="1:9" ht="14.45" customHeight="1" x14ac:dyDescent="0.25">
      <c r="A30" s="6"/>
      <c r="B30" s="1" t="s">
        <v>9</v>
      </c>
      <c r="C30" s="31">
        <v>0</v>
      </c>
      <c r="D30" s="31">
        <v>0</v>
      </c>
      <c r="E30" s="31"/>
      <c r="F30" s="31"/>
      <c r="G30" s="27"/>
      <c r="I30" s="6"/>
    </row>
    <row r="31" spans="1:9" ht="14.45" customHeight="1" x14ac:dyDescent="0.25">
      <c r="A31" s="6">
        <v>6</v>
      </c>
      <c r="B31" s="1" t="s">
        <v>10</v>
      </c>
      <c r="C31" s="30">
        <f>C26</f>
        <v>1379175.98</v>
      </c>
      <c r="D31" s="30">
        <f>D26</f>
        <v>3346074.07</v>
      </c>
      <c r="E31" s="30">
        <f>E26</f>
        <v>4440976.37</v>
      </c>
      <c r="F31" s="30">
        <f>F26</f>
        <v>1084185.54</v>
      </c>
      <c r="G31" s="30">
        <f>G26</f>
        <v>1596841.76</v>
      </c>
      <c r="I31" s="6"/>
    </row>
    <row r="32" spans="1:9" ht="14.45" customHeight="1" x14ac:dyDescent="0.25">
      <c r="A32" s="6">
        <v>7</v>
      </c>
      <c r="B32" s="1" t="s">
        <v>11</v>
      </c>
      <c r="C32" s="30">
        <v>5025.49</v>
      </c>
      <c r="D32" s="30">
        <v>5647.07</v>
      </c>
      <c r="E32" s="30">
        <v>41874.15</v>
      </c>
      <c r="F32" s="30">
        <v>30.34</v>
      </c>
      <c r="G32" s="27">
        <v>33.75</v>
      </c>
      <c r="I32" s="6"/>
    </row>
    <row r="33" spans="1:9" ht="14.45" customHeight="1" x14ac:dyDescent="0.25">
      <c r="A33" s="6">
        <v>8</v>
      </c>
      <c r="B33" s="1" t="s">
        <v>12</v>
      </c>
      <c r="C33" s="30">
        <v>0</v>
      </c>
      <c r="D33" s="30">
        <v>0</v>
      </c>
      <c r="E33" s="30"/>
      <c r="F33" s="30"/>
      <c r="G33" s="27"/>
      <c r="I33" s="6"/>
    </row>
    <row r="34" spans="1:9" ht="14.45" customHeight="1" x14ac:dyDescent="0.25">
      <c r="A34" s="28">
        <v>9</v>
      </c>
      <c r="B34" s="1" t="s">
        <v>13</v>
      </c>
      <c r="C34" s="30">
        <v>515584.33</v>
      </c>
      <c r="D34" s="30">
        <v>1768084.55</v>
      </c>
      <c r="E34" s="30">
        <v>2712936.77</v>
      </c>
      <c r="F34" s="30">
        <v>674046</v>
      </c>
      <c r="G34" s="27">
        <v>400453.03</v>
      </c>
      <c r="H34" s="15">
        <f>12728249-G34</f>
        <v>12327795.970000001</v>
      </c>
      <c r="I34" s="6"/>
    </row>
    <row r="35" spans="1:9" x14ac:dyDescent="0.3">
      <c r="C35" s="29"/>
      <c r="D35" s="29"/>
      <c r="E35" s="29"/>
      <c r="F35" s="29"/>
    </row>
    <row r="36" spans="1:9" x14ac:dyDescent="0.3">
      <c r="C36" s="29"/>
      <c r="D36" s="29"/>
      <c r="E36" s="29"/>
      <c r="F36" s="29"/>
    </row>
    <row r="37" spans="1:9" x14ac:dyDescent="0.25">
      <c r="C37" s="96">
        <f>C5-C3</f>
        <v>430630.89999999997</v>
      </c>
      <c r="D37" s="96">
        <f>D5-D3</f>
        <v>1388246.95</v>
      </c>
      <c r="E37" s="96">
        <f>E5-E3</f>
        <v>2423832.8699999996</v>
      </c>
      <c r="F37" s="96">
        <f>F5-F3</f>
        <v>518678.64999999997</v>
      </c>
      <c r="G37" s="96">
        <f>G5-G3</f>
        <v>0</v>
      </c>
    </row>
    <row r="38" spans="1:9" x14ac:dyDescent="0.25">
      <c r="C38" s="96">
        <f>SUM(C7:C24)</f>
        <v>1459103.72</v>
      </c>
      <c r="D38" s="96">
        <f>SUM(D7:D24)</f>
        <v>3720263.89</v>
      </c>
      <c r="E38" s="96">
        <f>SUM(E7:E24)</f>
        <v>4688206.12</v>
      </c>
      <c r="F38" s="96">
        <f>SUM(F7:F24)</f>
        <v>1239522.54</v>
      </c>
      <c r="G38" s="96">
        <f>SUM(G7:G24)</f>
        <v>1997261.0499999998</v>
      </c>
    </row>
    <row r="39" spans="1:9" x14ac:dyDescent="0.25">
      <c r="C39" s="96">
        <f>C31</f>
        <v>1379175.98</v>
      </c>
      <c r="D39" s="96">
        <f>D31</f>
        <v>3346074.07</v>
      </c>
      <c r="E39" s="96">
        <f>E31</f>
        <v>4440976.37</v>
      </c>
      <c r="F39" s="96">
        <f>F31</f>
        <v>1084185.54</v>
      </c>
      <c r="G39" s="96">
        <f>G31</f>
        <v>1596841.76</v>
      </c>
    </row>
    <row r="40" spans="1:9" x14ac:dyDescent="0.25">
      <c r="C40" s="96">
        <f>C34-C32</f>
        <v>510558.84</v>
      </c>
      <c r="D40" s="96">
        <f>D34-D32</f>
        <v>1762437.48</v>
      </c>
      <c r="E40" s="96">
        <f>E34-E32</f>
        <v>2671062.62</v>
      </c>
      <c r="F40" s="96">
        <f>F34-F32</f>
        <v>674015.66</v>
      </c>
      <c r="G40" s="96">
        <f>G34-G32</f>
        <v>400419.28</v>
      </c>
    </row>
    <row r="41" spans="1:9" x14ac:dyDescent="0.25">
      <c r="C41" s="96">
        <f>C37+C38-C39-C40</f>
        <v>-0.20000000012805685</v>
      </c>
      <c r="D41" s="96">
        <f>D37+D38-D39-D40</f>
        <v>-0.7099999999627471</v>
      </c>
      <c r="E41" s="96">
        <f>E37+E38-E39-E40</f>
        <v>0</v>
      </c>
      <c r="F41" s="96">
        <f>F37+F38-F39-F40</f>
        <v>-1.0000000125728548E-2</v>
      </c>
      <c r="G41" s="96">
        <f>G37+G38-G39-G40</f>
        <v>9.9999997764825821E-3</v>
      </c>
    </row>
    <row r="42" spans="1:9" x14ac:dyDescent="0.3">
      <c r="C42" s="29"/>
      <c r="D42" s="29"/>
      <c r="E42" s="29"/>
      <c r="F42" s="29"/>
    </row>
    <row r="43" spans="1:9" x14ac:dyDescent="0.3">
      <c r="C43" s="29"/>
      <c r="D43" s="29"/>
      <c r="E43" s="29"/>
      <c r="F43" s="29"/>
    </row>
  </sheetData>
  <mergeCells count="1">
    <mergeCell ref="C1:G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30" zoomScaleNormal="130" workbookViewId="0">
      <selection activeCell="B20" sqref="B20"/>
    </sheetView>
  </sheetViews>
  <sheetFormatPr defaultRowHeight="15" x14ac:dyDescent="0.25"/>
  <cols>
    <col min="1" max="1" width="4.5703125" customWidth="1"/>
    <col min="2" max="2" width="82.140625" customWidth="1"/>
    <col min="3" max="6" width="12.140625" customWidth="1"/>
    <col min="7" max="7" width="13.28515625" customWidth="1"/>
    <col min="8" max="8" width="0" hidden="1" customWidth="1"/>
    <col min="9" max="9" width="12.42578125" customWidth="1"/>
  </cols>
  <sheetData>
    <row r="1" spans="1:10" x14ac:dyDescent="0.25">
      <c r="B1" s="4" t="s">
        <v>62</v>
      </c>
    </row>
    <row r="2" spans="1:10" x14ac:dyDescent="0.25">
      <c r="B2" s="3" t="s">
        <v>33</v>
      </c>
      <c r="C2" s="9" t="s">
        <v>64</v>
      </c>
      <c r="D2" s="9" t="s">
        <v>65</v>
      </c>
      <c r="E2" s="9" t="s">
        <v>66</v>
      </c>
      <c r="F2" s="9" t="s">
        <v>67</v>
      </c>
      <c r="G2" s="10" t="s">
        <v>81</v>
      </c>
      <c r="I2" s="6" t="s">
        <v>69</v>
      </c>
    </row>
    <row r="3" spans="1:10" ht="20.100000000000001" customHeight="1" x14ac:dyDescent="0.25">
      <c r="A3" s="6">
        <v>1</v>
      </c>
      <c r="B3" s="7" t="s">
        <v>0</v>
      </c>
      <c r="C3" s="35">
        <v>8682.5499999999993</v>
      </c>
      <c r="D3" s="35">
        <f>61.51*'Данные по МКД-1'!D3/100</f>
        <v>0</v>
      </c>
      <c r="E3" s="35">
        <v>47162.09</v>
      </c>
      <c r="F3" s="35">
        <v>3500.82</v>
      </c>
      <c r="G3" s="32">
        <v>0</v>
      </c>
      <c r="H3" s="15" t="e">
        <f>G3*100/'Данные по МКД-1'!G3</f>
        <v>#DIV/0!</v>
      </c>
      <c r="I3" s="6"/>
    </row>
    <row r="4" spans="1:10" x14ac:dyDescent="0.25">
      <c r="A4" s="6">
        <v>2</v>
      </c>
      <c r="B4" s="7" t="s">
        <v>1</v>
      </c>
      <c r="C4" s="35"/>
      <c r="D4" s="35"/>
      <c r="E4" s="35"/>
      <c r="F4" s="35"/>
      <c r="G4" s="32"/>
      <c r="I4" s="6"/>
    </row>
    <row r="5" spans="1:10" x14ac:dyDescent="0.25">
      <c r="A5" s="6">
        <v>3</v>
      </c>
      <c r="B5" s="7" t="s">
        <v>2</v>
      </c>
      <c r="C5" s="35">
        <v>679192.22</v>
      </c>
      <c r="D5" s="35">
        <v>2146209.7999999998</v>
      </c>
      <c r="E5" s="35">
        <v>4247570.71</v>
      </c>
      <c r="F5" s="35">
        <v>911790.44</v>
      </c>
      <c r="G5" s="32">
        <v>0</v>
      </c>
      <c r="H5" s="15" t="e">
        <f>G5*100/'Данные по МКД-1'!G5</f>
        <v>#DIV/0!</v>
      </c>
      <c r="I5" s="6"/>
    </row>
    <row r="6" spans="1:10" x14ac:dyDescent="0.25">
      <c r="A6" s="6">
        <v>4</v>
      </c>
      <c r="B6" s="7" t="s">
        <v>11</v>
      </c>
      <c r="C6" s="35">
        <v>7824.91</v>
      </c>
      <c r="D6" s="35">
        <v>8730.2800000000007</v>
      </c>
      <c r="E6" s="35">
        <v>72566.28</v>
      </c>
      <c r="F6" s="35">
        <v>53.14</v>
      </c>
      <c r="G6" s="32">
        <v>24.74</v>
      </c>
      <c r="H6" s="15">
        <f>G6*100/'Данные по МКД-1'!G32</f>
        <v>73.303703703703704</v>
      </c>
      <c r="I6" s="6"/>
    </row>
    <row r="7" spans="1:10" x14ac:dyDescent="0.25">
      <c r="A7" s="6">
        <v>5</v>
      </c>
      <c r="B7" s="7" t="s">
        <v>12</v>
      </c>
      <c r="C7" s="35"/>
      <c r="D7" s="35"/>
      <c r="E7" s="35"/>
      <c r="F7" s="35"/>
      <c r="G7" s="32"/>
      <c r="I7" s="6"/>
    </row>
    <row r="8" spans="1:10" x14ac:dyDescent="0.25">
      <c r="A8" s="6">
        <v>6</v>
      </c>
      <c r="B8" s="7" t="s">
        <v>13</v>
      </c>
      <c r="C8" s="35">
        <v>802785.58</v>
      </c>
      <c r="D8" s="35">
        <v>2733433.26</v>
      </c>
      <c r="E8" s="35">
        <v>4701414.5</v>
      </c>
      <c r="F8" s="35">
        <v>1180362.78</v>
      </c>
      <c r="G8" s="32">
        <v>293510.33</v>
      </c>
      <c r="I8" s="6"/>
    </row>
    <row r="9" spans="1:10" x14ac:dyDescent="0.25">
      <c r="A9" s="6"/>
      <c r="B9" s="7"/>
      <c r="C9" s="35"/>
      <c r="D9" s="35"/>
      <c r="E9" s="35"/>
      <c r="F9" s="35"/>
      <c r="G9" s="32"/>
      <c r="I9" s="6"/>
    </row>
    <row r="10" spans="1:10" x14ac:dyDescent="0.25">
      <c r="A10" s="6">
        <v>7</v>
      </c>
      <c r="B10" s="7" t="s">
        <v>29</v>
      </c>
      <c r="C10" s="35"/>
      <c r="D10" s="35"/>
      <c r="E10" s="35"/>
      <c r="F10" s="35"/>
      <c r="G10" s="32"/>
      <c r="I10" s="6"/>
    </row>
    <row r="11" spans="1:10" x14ac:dyDescent="0.25">
      <c r="A11" s="6">
        <v>8</v>
      </c>
      <c r="B11" s="7" t="s">
        <v>30</v>
      </c>
      <c r="C11" s="34"/>
      <c r="D11" s="34"/>
      <c r="E11" s="34"/>
      <c r="F11" s="34"/>
      <c r="G11" s="32"/>
      <c r="I11" s="6"/>
    </row>
    <row r="12" spans="1:10" x14ac:dyDescent="0.25">
      <c r="A12" s="6">
        <v>9</v>
      </c>
      <c r="B12" s="7" t="s">
        <v>31</v>
      </c>
      <c r="C12" s="34"/>
      <c r="D12" s="34"/>
      <c r="E12" s="34"/>
      <c r="F12" s="34"/>
      <c r="G12" s="32"/>
      <c r="I12" s="6"/>
    </row>
    <row r="13" spans="1:10" x14ac:dyDescent="0.25">
      <c r="A13" s="6">
        <v>10</v>
      </c>
      <c r="B13" s="7" t="s">
        <v>32</v>
      </c>
      <c r="C13" s="34"/>
      <c r="D13" s="34"/>
      <c r="E13" s="34"/>
      <c r="F13" s="34"/>
      <c r="G13" s="32"/>
      <c r="I13" s="6"/>
    </row>
    <row r="14" spans="1:10" x14ac:dyDescent="0.25">
      <c r="C14" s="33"/>
      <c r="D14" s="33"/>
      <c r="E14" s="33"/>
      <c r="F14" s="33"/>
      <c r="G14" s="33"/>
    </row>
    <row r="16" spans="1:10" x14ac:dyDescent="0.25">
      <c r="C16" s="97">
        <f>'Данные по МКД-4'!B79+'Данные по МКД-4'!B62+'Данные по МКД-4'!B45+'Данные по МКД-4'!B28+'Данные по МКД-4'!B11</f>
        <v>794960.08</v>
      </c>
      <c r="D16" s="97">
        <f>'Данные по МКД-4'!C79+'Данные по МКД-4'!C62+'Данные по МКД-4'!C45+'Данные по МКД-4'!C28+'Данные по МКД-4'!C11</f>
        <v>2724703.3400000003</v>
      </c>
      <c r="E16" s="97">
        <f>'Данные по МКД-4'!D79+'Данные по МКД-4'!D62+'Данные по МКД-4'!D45+'Данные по МКД-4'!D28+'Данные по МКД-4'!D11</f>
        <v>4628848.22</v>
      </c>
      <c r="F16" s="97">
        <f>'Данные по МКД-4'!E79+'Данные по МКД-4'!E62+'Данные по МКД-4'!E45+'Данные по МКД-4'!E28+'Данные по МКД-4'!E11</f>
        <v>1180309.6300000001</v>
      </c>
      <c r="G16" s="97">
        <f>'Данные по МКД-4'!F79+'Данные по МКД-4'!F62+'Данные по МКД-4'!F45+'Данные по МКД-4'!F28+'Данные по МКД-4'!F11</f>
        <v>293485.58</v>
      </c>
      <c r="H16" s="97">
        <f>'Данные по МКД-4'!G79+'Данные по МКД-4'!G62+'Данные по МКД-4'!G45+'Данные по МКД-4'!G28+'Данные по МКД-4'!G11</f>
        <v>9622306.8500000015</v>
      </c>
      <c r="I16" s="97">
        <f>'Данные по МКД-4'!H79+'Данные по МКД-4'!H62+'Данные по МКД-4'!H45+'Данные по МКД-4'!H28+'Данные по МКД-4'!H11</f>
        <v>0</v>
      </c>
      <c r="J16" s="98"/>
    </row>
    <row r="17" spans="3:10" x14ac:dyDescent="0.25">
      <c r="C17" s="97">
        <f>C8-C6-C16</f>
        <v>0.58999999996740371</v>
      </c>
      <c r="D17" s="97">
        <f t="shared" ref="D17:F17" si="0">D8-D6-D16</f>
        <v>-0.36000000033527613</v>
      </c>
      <c r="E17" s="97">
        <f t="shared" si="0"/>
        <v>0</v>
      </c>
      <c r="F17" s="97">
        <f t="shared" si="0"/>
        <v>1.0000000009313226E-2</v>
      </c>
      <c r="G17" s="97">
        <f t="shared" ref="G17:H17" si="1">G8-G6-G16</f>
        <v>1.0000000009313226E-2</v>
      </c>
      <c r="H17" s="97">
        <f t="shared" si="1"/>
        <v>-9622380.1537037045</v>
      </c>
      <c r="I17" s="97">
        <f t="shared" ref="I17" si="2">I8-I6-I16</f>
        <v>0</v>
      </c>
      <c r="J17" s="98"/>
    </row>
    <row r="23" spans="3:10" x14ac:dyDescent="0.3">
      <c r="D23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"/>
  <sheetViews>
    <sheetView workbookViewId="0">
      <selection activeCell="E3" sqref="E3"/>
    </sheetView>
  </sheetViews>
  <sheetFormatPr defaultRowHeight="15" x14ac:dyDescent="0.25"/>
  <cols>
    <col min="1" max="1" width="79.28515625" customWidth="1"/>
    <col min="2" max="2" width="16.140625" customWidth="1"/>
    <col min="3" max="3" width="10.5703125" bestFit="1" customWidth="1"/>
    <col min="4" max="4" width="11.85546875" customWidth="1"/>
    <col min="6" max="6" width="10.85546875" customWidth="1"/>
    <col min="7" max="7" width="10.7109375" customWidth="1"/>
  </cols>
  <sheetData>
    <row r="1" spans="1:7" x14ac:dyDescent="0.25">
      <c r="A1" s="4" t="s">
        <v>62</v>
      </c>
    </row>
    <row r="2" spans="1:7" x14ac:dyDescent="0.25">
      <c r="A2" s="3" t="s">
        <v>49</v>
      </c>
      <c r="B2" s="9" t="s">
        <v>64</v>
      </c>
      <c r="C2" s="9" t="s">
        <v>65</v>
      </c>
      <c r="D2" s="9" t="s">
        <v>66</v>
      </c>
      <c r="E2" s="9" t="s">
        <v>67</v>
      </c>
      <c r="F2" s="10" t="s">
        <v>81</v>
      </c>
      <c r="G2" s="6" t="s">
        <v>69</v>
      </c>
    </row>
    <row r="3" spans="1:7" ht="20.100000000000001" customHeight="1" x14ac:dyDescent="0.25">
      <c r="A3" s="7" t="s">
        <v>46</v>
      </c>
      <c r="B3" s="6"/>
      <c r="C3" s="6"/>
      <c r="D3" s="6"/>
      <c r="E3" s="6"/>
      <c r="F3" s="6"/>
      <c r="G3" s="6"/>
    </row>
    <row r="4" spans="1:7" ht="20.100000000000001" customHeight="1" x14ac:dyDescent="0.25">
      <c r="A4" s="7" t="s">
        <v>47</v>
      </c>
      <c r="B4" s="6"/>
      <c r="C4" s="6"/>
      <c r="D4" s="6"/>
      <c r="E4" s="6"/>
      <c r="F4" s="6"/>
      <c r="G4" s="6"/>
    </row>
    <row r="5" spans="1:7" ht="20.100000000000001" customHeight="1" x14ac:dyDescent="0.25">
      <c r="A5" s="7" t="s">
        <v>48</v>
      </c>
      <c r="B5" s="44">
        <v>102109.15</v>
      </c>
      <c r="C5" s="44">
        <f>51611+81559.15</f>
        <v>133170.15</v>
      </c>
      <c r="D5" s="44">
        <v>704408.61</v>
      </c>
      <c r="E5" s="6">
        <v>0</v>
      </c>
      <c r="F5" s="6">
        <v>0</v>
      </c>
      <c r="G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Данные по УК</vt:lpstr>
      <vt:lpstr>Данные по МКД-4</vt:lpstr>
      <vt:lpstr>Данные по МКД-6</vt:lpstr>
      <vt:lpstr>Данные по МКД-2</vt:lpstr>
      <vt:lpstr>Данные по МКД-1</vt:lpstr>
      <vt:lpstr>Данные по МКД-3</vt:lpstr>
      <vt:lpstr>Данные по МКД-5</vt:lpstr>
      <vt:lpstr>'Данные по МКД-1'!Область_печати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Синицына Елена Олеговна</cp:lastModifiedBy>
  <cp:lastPrinted>2017-03-30T06:55:44Z</cp:lastPrinted>
  <dcterms:created xsi:type="dcterms:W3CDTF">2016-03-23T13:09:41Z</dcterms:created>
  <dcterms:modified xsi:type="dcterms:W3CDTF">2017-03-31T12:32:29Z</dcterms:modified>
</cp:coreProperties>
</file>