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К Сервис+\1_Общее\Раскрытие информации\2019\Реформа ЖКХ и сайты УК\УК Прокси\"/>
    </mc:Choice>
  </mc:AlternateContent>
  <bookViews>
    <workbookView xWindow="0" yWindow="0" windowWidth="19200" windowHeight="11490" tabRatio="831"/>
  </bookViews>
  <sheets>
    <sheet name="Данные по УК" sheetId="7" r:id="rId1"/>
    <sheet name="Данные по МКД-4" sheetId="4" r:id="rId2"/>
    <sheet name="Данные по МКД-6" sheetId="6" r:id="rId3"/>
    <sheet name="Данные по МКД-2" sheetId="2" r:id="rId4"/>
    <sheet name="Данные по МКД-1" sheetId="1" r:id="rId5"/>
    <sheet name="Данные по МКД-3" sheetId="3" r:id="rId6"/>
    <sheet name="Данные по МКД-5" sheetId="5" r:id="rId7"/>
  </sheets>
  <definedNames>
    <definedName name="_xlnm.Print_Area" localSheetId="4">'Данные по МКД-1'!$A$1:$G$35</definedName>
  </definedNames>
  <calcPr calcId="152511" refMode="R1C1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2" i="6"/>
  <c r="H13" i="6"/>
  <c r="H19" i="6"/>
  <c r="I38" i="1"/>
  <c r="I40" i="1"/>
  <c r="C85" i="4" l="1"/>
  <c r="G68" i="4"/>
  <c r="F68" i="4"/>
  <c r="E68" i="4"/>
  <c r="D68" i="4"/>
  <c r="C68" i="4"/>
  <c r="B68" i="4"/>
  <c r="G66" i="4"/>
  <c r="F66" i="4"/>
  <c r="E66" i="4"/>
  <c r="D66" i="4"/>
  <c r="B66" i="4"/>
  <c r="C51" i="4"/>
  <c r="B51" i="4"/>
  <c r="G49" i="4"/>
  <c r="F49" i="4"/>
  <c r="E49" i="4"/>
  <c r="D49" i="4"/>
  <c r="B49" i="4"/>
  <c r="C34" i="4"/>
  <c r="C15" i="4"/>
  <c r="C4" i="6" l="1"/>
  <c r="C3" i="6"/>
  <c r="F17" i="6" l="1"/>
  <c r="F14" i="6"/>
  <c r="F3" i="6"/>
  <c r="F4" i="6"/>
  <c r="E3" i="6"/>
  <c r="E4" i="6" l="1"/>
  <c r="E20" i="6"/>
  <c r="H20" i="6" s="1"/>
  <c r="E18" i="6"/>
  <c r="E17" i="6"/>
  <c r="E14" i="6"/>
  <c r="E10" i="6"/>
  <c r="E15" i="6"/>
  <c r="E16" i="6"/>
  <c r="H16" i="6" s="1"/>
  <c r="C20" i="2"/>
  <c r="D20" i="2"/>
  <c r="E20" i="2"/>
  <c r="F20" i="2"/>
  <c r="G20" i="2"/>
  <c r="H20" i="2"/>
  <c r="H21" i="2"/>
  <c r="G17" i="6"/>
  <c r="G4" i="6"/>
  <c r="G3" i="6"/>
  <c r="I4" i="3"/>
  <c r="I5" i="3"/>
  <c r="I7" i="3"/>
  <c r="I3" i="3"/>
  <c r="I25" i="1"/>
  <c r="I27" i="1"/>
  <c r="I28" i="1"/>
  <c r="I29" i="1"/>
  <c r="I30" i="1"/>
  <c r="I33" i="1"/>
  <c r="D23" i="1"/>
  <c r="E23" i="1"/>
  <c r="F23" i="1"/>
  <c r="G23" i="1"/>
  <c r="H23" i="1"/>
  <c r="C23" i="1"/>
  <c r="D26" i="1"/>
  <c r="D31" i="1" s="1"/>
  <c r="C93" i="4" s="1"/>
  <c r="E26" i="1"/>
  <c r="E31" i="1" s="1"/>
  <c r="D93" i="4" s="1"/>
  <c r="D77" i="4" s="1"/>
  <c r="F26" i="1"/>
  <c r="F31" i="1" s="1"/>
  <c r="G26" i="1"/>
  <c r="G31" i="1" s="1"/>
  <c r="F93" i="4" s="1"/>
  <c r="H26" i="1"/>
  <c r="H31" i="1"/>
  <c r="G93" i="4" s="1"/>
  <c r="C75" i="4"/>
  <c r="D75" i="4"/>
  <c r="E75" i="4"/>
  <c r="F75" i="4"/>
  <c r="G75" i="4"/>
  <c r="C58" i="4"/>
  <c r="D58" i="4"/>
  <c r="E58" i="4"/>
  <c r="F58" i="4"/>
  <c r="G58" i="4"/>
  <c r="C41" i="4"/>
  <c r="D41" i="4"/>
  <c r="E41" i="4"/>
  <c r="F41" i="4"/>
  <c r="G41" i="4"/>
  <c r="C24" i="4"/>
  <c r="D24" i="4"/>
  <c r="E24" i="4"/>
  <c r="F24" i="4"/>
  <c r="G24" i="4"/>
  <c r="D4" i="6"/>
  <c r="D3" i="6"/>
  <c r="C92" i="4"/>
  <c r="D92" i="4"/>
  <c r="E92" i="4"/>
  <c r="F92" i="4"/>
  <c r="G92" i="4"/>
  <c r="D32" i="1"/>
  <c r="D6" i="3" s="1"/>
  <c r="E32" i="1"/>
  <c r="E6" i="3" s="1"/>
  <c r="F32" i="1"/>
  <c r="F6" i="3" s="1"/>
  <c r="G32" i="1"/>
  <c r="G6" i="3" s="1"/>
  <c r="H32" i="1"/>
  <c r="H6" i="3" s="1"/>
  <c r="C32" i="1"/>
  <c r="C6" i="3" s="1"/>
  <c r="C31" i="1"/>
  <c r="B93" i="4" s="1"/>
  <c r="C26" i="1"/>
  <c r="B92" i="4"/>
  <c r="B75" i="4"/>
  <c r="B58" i="4"/>
  <c r="B41" i="4"/>
  <c r="B24" i="4"/>
  <c r="B4" i="6"/>
  <c r="H4" i="6" s="1"/>
  <c r="B18" i="6"/>
  <c r="B3" i="6"/>
  <c r="H3" i="6" s="1"/>
  <c r="B11" i="6"/>
  <c r="H11" i="6" s="1"/>
  <c r="B10" i="6"/>
  <c r="H10" i="6" s="1"/>
  <c r="B17" i="6"/>
  <c r="H17" i="6" s="1"/>
  <c r="B15" i="6"/>
  <c r="H15" i="6" s="1"/>
  <c r="B14" i="6"/>
  <c r="H14" i="6" l="1"/>
  <c r="H18" i="6"/>
  <c r="B60" i="4"/>
  <c r="C60" i="4"/>
  <c r="C26" i="4"/>
  <c r="C77" i="4"/>
  <c r="C43" i="4"/>
  <c r="F60" i="4"/>
  <c r="F26" i="4"/>
  <c r="F77" i="4"/>
  <c r="F43" i="4"/>
  <c r="I20" i="2"/>
  <c r="D8" i="3"/>
  <c r="C94" i="4" s="1"/>
  <c r="I32" i="1"/>
  <c r="I6" i="3"/>
  <c r="G60" i="4"/>
  <c r="G43" i="4"/>
  <c r="G77" i="4"/>
  <c r="E93" i="4"/>
  <c r="F8" i="3" s="1"/>
  <c r="E94" i="4" s="1"/>
  <c r="I31" i="1"/>
  <c r="I26" i="1"/>
  <c r="I23" i="1"/>
  <c r="D26" i="4"/>
  <c r="D60" i="4"/>
  <c r="C8" i="3"/>
  <c r="B94" i="4" s="1"/>
  <c r="B79" i="4" s="1"/>
  <c r="B43" i="4"/>
  <c r="B77" i="4"/>
  <c r="E8" i="3"/>
  <c r="D94" i="4" s="1"/>
  <c r="D62" i="4" s="1"/>
  <c r="D43" i="4"/>
  <c r="H8" i="3"/>
  <c r="G8" i="3"/>
  <c r="F94" i="4" s="1"/>
  <c r="G26" i="4"/>
  <c r="B26" i="4"/>
  <c r="C13" i="7"/>
  <c r="D13" i="7"/>
  <c r="E13" i="7"/>
  <c r="F13" i="7"/>
  <c r="G13" i="7"/>
  <c r="B13" i="7"/>
  <c r="D11" i="7"/>
  <c r="E11" i="7"/>
  <c r="F11" i="7"/>
  <c r="G11" i="7"/>
  <c r="B11" i="7"/>
  <c r="D10" i="7"/>
  <c r="E10" i="7"/>
  <c r="F10" i="7"/>
  <c r="G10" i="7"/>
  <c r="B10" i="7"/>
  <c r="D6" i="7"/>
  <c r="E6" i="7"/>
  <c r="F6" i="7"/>
  <c r="G6" i="7"/>
  <c r="D45" i="4" l="1"/>
  <c r="E79" i="4"/>
  <c r="D28" i="4"/>
  <c r="D79" i="4"/>
  <c r="F62" i="4"/>
  <c r="F79" i="4"/>
  <c r="B28" i="4"/>
  <c r="E60" i="4"/>
  <c r="E77" i="4"/>
  <c r="E43" i="4"/>
  <c r="E26" i="4"/>
  <c r="C62" i="4"/>
  <c r="C79" i="4"/>
  <c r="H13" i="7"/>
  <c r="C45" i="4"/>
  <c r="C28" i="4"/>
  <c r="F28" i="4"/>
  <c r="F45" i="4"/>
  <c r="E28" i="4"/>
  <c r="E45" i="4"/>
  <c r="G94" i="4"/>
  <c r="I8" i="3"/>
  <c r="B62" i="4"/>
  <c r="B45" i="4"/>
  <c r="E62" i="4"/>
  <c r="G28" i="4"/>
  <c r="G9" i="7"/>
  <c r="F9" i="7"/>
  <c r="E9" i="7"/>
  <c r="D9" i="7"/>
  <c r="C9" i="7"/>
  <c r="C6" i="7"/>
  <c r="G79" i="4" l="1"/>
  <c r="G45" i="4"/>
  <c r="G62" i="4"/>
  <c r="C10" i="7"/>
  <c r="H10" i="7" s="1"/>
  <c r="B6" i="7"/>
  <c r="H6" i="7" s="1"/>
  <c r="B9" i="7"/>
  <c r="H9" i="7" s="1"/>
  <c r="C11" i="7"/>
  <c r="H11" i="7" s="1"/>
  <c r="H17" i="2"/>
  <c r="E17" i="2" l="1"/>
  <c r="C8" i="1" l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C15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24" i="1"/>
  <c r="D24" i="1"/>
  <c r="E24" i="1"/>
  <c r="F24" i="1"/>
  <c r="G24" i="1"/>
  <c r="H24" i="1"/>
  <c r="D7" i="1"/>
  <c r="E7" i="1"/>
  <c r="F7" i="1"/>
  <c r="G7" i="1"/>
  <c r="H7" i="1"/>
  <c r="C7" i="1"/>
  <c r="I17" i="2"/>
  <c r="D4" i="2"/>
  <c r="E4" i="2"/>
  <c r="F4" i="2"/>
  <c r="G4" i="2"/>
  <c r="H4" i="2"/>
  <c r="D5" i="2"/>
  <c r="E5" i="2"/>
  <c r="F5" i="2"/>
  <c r="G5" i="2"/>
  <c r="H5" i="2"/>
  <c r="D6" i="2"/>
  <c r="E6" i="2"/>
  <c r="F6" i="2"/>
  <c r="G6" i="2"/>
  <c r="H6" i="2"/>
  <c r="D7" i="2"/>
  <c r="E7" i="2"/>
  <c r="F7" i="2"/>
  <c r="G7" i="2"/>
  <c r="H7" i="2"/>
  <c r="D8" i="2"/>
  <c r="E8" i="2"/>
  <c r="F8" i="2"/>
  <c r="G8" i="2"/>
  <c r="H8" i="2"/>
  <c r="D9" i="2"/>
  <c r="E9" i="2"/>
  <c r="F9" i="2"/>
  <c r="G9" i="2"/>
  <c r="H9" i="2"/>
  <c r="D10" i="2"/>
  <c r="E10" i="2"/>
  <c r="F10" i="2"/>
  <c r="G10" i="2"/>
  <c r="H10" i="2"/>
  <c r="D11" i="2"/>
  <c r="E11" i="2"/>
  <c r="F11" i="2"/>
  <c r="G11" i="2"/>
  <c r="H11" i="2"/>
  <c r="D12" i="2"/>
  <c r="E12" i="2"/>
  <c r="F12" i="2"/>
  <c r="G12" i="2"/>
  <c r="H12" i="2"/>
  <c r="D13" i="2"/>
  <c r="E13" i="2"/>
  <c r="F13" i="2"/>
  <c r="G13" i="2"/>
  <c r="H13" i="2"/>
  <c r="D14" i="2"/>
  <c r="E14" i="2"/>
  <c r="F14" i="2"/>
  <c r="G14" i="2"/>
  <c r="H14" i="2"/>
  <c r="D15" i="2"/>
  <c r="E15" i="2"/>
  <c r="F15" i="2"/>
  <c r="G15" i="2"/>
  <c r="H15" i="2"/>
  <c r="D16" i="2"/>
  <c r="E16" i="2"/>
  <c r="F16" i="2"/>
  <c r="G16" i="2"/>
  <c r="H16" i="2"/>
  <c r="D18" i="2"/>
  <c r="E18" i="2"/>
  <c r="F18" i="2"/>
  <c r="G18" i="2"/>
  <c r="H18" i="2"/>
  <c r="D19" i="2"/>
  <c r="E19" i="2"/>
  <c r="F19" i="2"/>
  <c r="G19" i="2"/>
  <c r="H19" i="2"/>
  <c r="D21" i="2"/>
  <c r="E21" i="2"/>
  <c r="F21" i="2"/>
  <c r="G21" i="2"/>
  <c r="C5" i="2"/>
  <c r="C6" i="2"/>
  <c r="C7" i="2"/>
  <c r="C8" i="2"/>
  <c r="C9" i="2"/>
  <c r="C10" i="2"/>
  <c r="C11" i="2"/>
  <c r="C12" i="2"/>
  <c r="C13" i="2"/>
  <c r="C14" i="2"/>
  <c r="C15" i="2"/>
  <c r="C16" i="2"/>
  <c r="C18" i="2"/>
  <c r="C19" i="2"/>
  <c r="C21" i="2"/>
  <c r="C4" i="2"/>
  <c r="G22" i="2" l="1"/>
  <c r="G23" i="2" s="1"/>
  <c r="E22" i="2"/>
  <c r="E23" i="2" s="1"/>
  <c r="C22" i="2"/>
  <c r="C23" i="2" s="1"/>
  <c r="H22" i="2"/>
  <c r="H23" i="2" s="1"/>
  <c r="F22" i="2"/>
  <c r="F23" i="2" s="1"/>
  <c r="D22" i="2"/>
  <c r="D23" i="2" s="1"/>
  <c r="G3" i="7"/>
  <c r="C3" i="7"/>
  <c r="B3" i="7"/>
  <c r="F3" i="7"/>
  <c r="H6" i="1"/>
  <c r="H35" i="1" s="1"/>
  <c r="I24" i="1"/>
  <c r="I21" i="2"/>
  <c r="E3" i="7"/>
  <c r="D6" i="1"/>
  <c r="D35" i="1" s="1"/>
  <c r="I15" i="2"/>
  <c r="I16" i="2"/>
  <c r="I12" i="2"/>
  <c r="I11" i="2"/>
  <c r="I8" i="2"/>
  <c r="I14" i="2"/>
  <c r="I6" i="2"/>
  <c r="I22" i="1"/>
  <c r="I18" i="1"/>
  <c r="I17" i="1"/>
  <c r="I14" i="1"/>
  <c r="I13" i="1"/>
  <c r="I11" i="1"/>
  <c r="I10" i="1"/>
  <c r="I9" i="1"/>
  <c r="I13" i="2"/>
  <c r="I9" i="2"/>
  <c r="I10" i="2"/>
  <c r="I19" i="1"/>
  <c r="I15" i="1"/>
  <c r="I16" i="1"/>
  <c r="I12" i="1"/>
  <c r="I7" i="1"/>
  <c r="E4" i="7"/>
  <c r="F6" i="1"/>
  <c r="F35" i="1" s="1"/>
  <c r="I21" i="1"/>
  <c r="D3" i="7"/>
  <c r="I19" i="2"/>
  <c r="I18" i="2"/>
  <c r="I4" i="2"/>
  <c r="I20" i="1"/>
  <c r="I5" i="2"/>
  <c r="I8" i="1"/>
  <c r="E6" i="1"/>
  <c r="E35" i="1" s="1"/>
  <c r="I7" i="2"/>
  <c r="G6" i="1"/>
  <c r="G35" i="1" s="1"/>
  <c r="C6" i="1"/>
  <c r="C35" i="1" s="1"/>
  <c r="I13" i="3"/>
  <c r="I22" i="2" l="1"/>
  <c r="I23" i="2" s="1"/>
  <c r="H3" i="7"/>
  <c r="B4" i="7"/>
  <c r="F4" i="7"/>
  <c r="C4" i="7"/>
  <c r="C34" i="1"/>
  <c r="I34" i="1" s="1"/>
  <c r="G4" i="7"/>
  <c r="I6" i="1"/>
  <c r="I35" i="1" s="1"/>
  <c r="D4" i="7"/>
  <c r="H4" i="7" l="1"/>
</calcChain>
</file>

<file path=xl/sharedStrings.xml><?xml version="1.0" encoding="utf-8"?>
<sst xmlns="http://schemas.openxmlformats.org/spreadsheetml/2006/main" count="203" uniqueCount="84">
  <si>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</si>
  <si>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</si>
  <si>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</si>
  <si>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</si>
  <si>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</si>
  <si>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</si>
  <si>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</si>
  <si>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</si>
  <si>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</si>
  <si>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</si>
  <si>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</si>
  <si>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</si>
  <si>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</si>
  <si>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</si>
  <si>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Данные за период управления:</t>
  </si>
  <si>
    <t>Работы по содержанию и ремонту лифта (лифтов) в многоквартирном доме</t>
  </si>
  <si>
    <t>Работы по содержанию и ремонту мусоропроводов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</si>
  <si>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</si>
  <si>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</si>
  <si>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</si>
  <si>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Проведение дератизации и дезинсекции помещений, входящих в состав общего 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</si>
  <si>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</si>
  <si>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систем внутридомового газового оборудования</t>
  </si>
  <si>
    <t>Работы по содержанию и ремонту систем дымоудаления и вентиляции</t>
  </si>
  <si>
    <t>Работы по обеспечению требований пожарной безопасности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</si>
  <si>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</si>
  <si>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</si>
  <si>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помещений, входящих в состав общего имущества в многоквартирном доме</t>
  </si>
  <si>
    <t>(отчеты по управлению) - выполненные работы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</si>
  <si>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</si>
  <si>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</si>
  <si>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</si>
  <si>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</si>
  <si>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(отчеты по управлению) - коммунальные услуги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</si>
  <si>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</si>
  <si>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</si>
  <si>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</si>
  <si>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</si>
  <si>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</si>
  <si>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</si>
  <si>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(отчеты по управлению) - объемы по коммунальным услугам</t>
  </si>
  <si>
    <t>Электроснабжение (начислено потребителям)</t>
  </si>
  <si>
    <t>Холодное водоснабжение (начислено потребителям)</t>
  </si>
  <si>
    <t>Отопление (начислено потребителям)</t>
  </si>
  <si>
    <t>Горячее водоснабжение (начислено потребителям)</t>
  </si>
  <si>
    <t>Водоотведение (начислено потребителям)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</si>
  <si>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</si>
  <si>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</si>
  <si>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</si>
  <si>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(отчеты по управлению) претензионно-исковая работа</t>
  </si>
  <si>
    <t xml:space="preserve"> (отчеты по управлению) - общая информация</t>
  </si>
  <si>
    <t>(управление) - выполняемые работы (услуги)</t>
  </si>
  <si>
    <t>Общая задолженность по тепловой энергии, руб.</t>
  </si>
  <si>
    <t>Общая задолженность по тепловой энергии для нужд отопления, руб.</t>
  </si>
  <si>
    <t>Общая задолженность по тепловой энергии для нужд горячего водоснабжения, руб.</t>
  </si>
  <si>
    <t>Общая задолженность по горячей воде, руб.</t>
  </si>
  <si>
    <t>Общая задолженность по холодной воде, руб.</t>
  </si>
  <si>
    <t>Общая задолженность по водоотведению, руб.</t>
  </si>
  <si>
    <t>Общая задолженность по поставке газа, руб.</t>
  </si>
  <si>
    <t>Общая задолженность по электрической энергии, руб.</t>
  </si>
  <si>
    <t>Общая задолженность по прочим ресурсам (услугам), руб.</t>
  </si>
  <si>
    <t>Данные УК основные финансовые показатели</t>
  </si>
  <si>
    <t>Данные по МКД</t>
  </si>
  <si>
    <t>ВСЕГО</t>
  </si>
  <si>
    <t>Общий объем потребления,КВт.</t>
  </si>
  <si>
    <t>Общий объем потребления, м.3</t>
  </si>
  <si>
    <t>Общий объем потребления, Гкал.</t>
  </si>
  <si>
    <t>Данные по МКД-1</t>
  </si>
  <si>
    <t>Начислено потребителям, руб.</t>
  </si>
  <si>
    <t>Текущий ремонт</t>
  </si>
  <si>
    <t>Эксплуатация общедомовых ПУ</t>
  </si>
  <si>
    <t>Телеантенна</t>
  </si>
  <si>
    <t>Радио</t>
  </si>
  <si>
    <t>Сведения о доходах, полученных за оказание услуг по управлению многоквартирными домами</t>
  </si>
  <si>
    <t>Сведения о расходах, понесенных в связи с оказанием услуг по управлению многоквартирными домами</t>
  </si>
  <si>
    <t>СПб., Вавиловых,д.6/1</t>
  </si>
  <si>
    <t>СПб., Вавиловых,д.6/2</t>
  </si>
  <si>
    <t>СПб., Вавиловых,д.8/3</t>
  </si>
  <si>
    <r>
      <t xml:space="preserve">Задолженность перед поставщиком (поставщиками) коммунального ресурса на </t>
    </r>
    <r>
      <rPr>
        <sz val="11"/>
        <color rgb="FFFF0000"/>
        <rFont val="Arial"/>
        <family val="2"/>
        <charset val="204"/>
      </rPr>
      <t>01.01.2019</t>
    </r>
    <r>
      <rPr>
        <sz val="11"/>
        <color rgb="FF717171"/>
        <rFont val="Arial"/>
        <family val="2"/>
        <charset val="204"/>
      </rPr>
      <t>, руб.</t>
    </r>
  </si>
  <si>
    <t>СПб., Науки,д.4/1</t>
  </si>
  <si>
    <t>СПб., Науки,д.4/2</t>
  </si>
  <si>
    <t>СПб., Науки,д.15/1</t>
  </si>
  <si>
    <t>Общая задолженность управляющей организации (индивидуального предпринимателя) перед ресурсоснабжающими организациями на 01.01.2019:</t>
  </si>
  <si>
    <t>Работы по содержанию и ремонту ПЗУ и домофонов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</si>
</sst>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717171"/>
      <name val="Arial"/>
      <family val="2"/>
      <charset val="204"/>
    </font>
    <font>
      <sz val="12"/>
      <color rgb="FF71717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58585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58585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rgb="FF71717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b/>
      <sz val="11"/>
      <color rgb="FF71717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  <charset val="204"/>
    </font>
    <font>
      <b/>
      <sz val="9"/>
      <color rgb="FF7030A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0" fontId="24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 vertical="center" wrapText="1" indent="1"/>
    </xf>
    <xf numFmtId="4" fontId="6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4" fontId="8" fillId="2" borderId="1" xfId="0" applyNumberFormat="1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0" fillId="0" borderId="0" xfId="0" applyAlignment="1"/>
    <xf numFmtId="0" fontId="5" fillId="0" borderId="0" xfId="0" applyFont="1"/>
    <xf numFmtId="0" fontId="16" fillId="0" borderId="0" xfId="0" applyFont="1"/>
    <xf numFmtId="4" fontId="18" fillId="0" borderId="1" xfId="0" applyNumberFormat="1" applyFont="1" applyBorder="1"/>
    <xf numFmtId="4" fontId="18" fillId="0" borderId="4" xfId="0" applyNumberFormat="1" applyFont="1" applyBorder="1"/>
    <xf numFmtId="0" fontId="1" fillId="0" borderId="0" xfId="0" applyFont="1" applyAlignment="1">
      <alignment horizontal="center"/>
    </xf>
    <xf numFmtId="4" fontId="11" fillId="0" borderId="1" xfId="0" applyNumberFormat="1" applyFont="1" applyFill="1" applyBorder="1" applyAlignment="1">
      <alignment horizontal="right" vertical="center" wrapText="1" indent="1"/>
    </xf>
    <xf numFmtId="0" fontId="0" fillId="0" borderId="1" xfId="0" applyFill="1" applyBorder="1"/>
    <xf numFmtId="4" fontId="0" fillId="0" borderId="0" xfId="0" applyNumberFormat="1"/>
    <xf numFmtId="4" fontId="17" fillId="2" borderId="1" xfId="0" applyNumberFormat="1" applyFont="1" applyFill="1" applyBorder="1" applyAlignment="1">
      <alignment horizontal="right" vertical="center" wrapText="1" indent="1"/>
    </xf>
    <xf numFmtId="4" fontId="13" fillId="2" borderId="1" xfId="0" applyNumberFormat="1" applyFont="1" applyFill="1" applyBorder="1" applyAlignment="1">
      <alignment horizontal="right" vertical="center" wrapText="1" indent="1"/>
    </xf>
    <xf numFmtId="4" fontId="23" fillId="0" borderId="1" xfId="0" applyNumberFormat="1" applyFont="1" applyFill="1" applyBorder="1" applyAlignment="1">
      <alignment horizontal="right" vertical="center" wrapText="1" indent="1"/>
    </xf>
    <xf numFmtId="0" fontId="18" fillId="0" borderId="0" xfId="0" applyFont="1"/>
    <xf numFmtId="3" fontId="22" fillId="2" borderId="1" xfId="0" applyNumberFormat="1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vertical="center" wrapText="1"/>
    </xf>
    <xf numFmtId="4" fontId="19" fillId="0" borderId="6" xfId="0" applyNumberFormat="1" applyFont="1" applyBorder="1"/>
    <xf numFmtId="4" fontId="19" fillId="0" borderId="2" xfId="0" applyNumberFormat="1" applyFont="1" applyBorder="1"/>
    <xf numFmtId="4" fontId="19" fillId="0" borderId="2" xfId="0" applyNumberFormat="1" applyFont="1" applyFill="1" applyBorder="1"/>
    <xf numFmtId="0" fontId="0" fillId="0" borderId="0" xfId="0" applyFill="1"/>
    <xf numFmtId="0" fontId="0" fillId="4" borderId="0" xfId="0" applyFill="1"/>
    <xf numFmtId="4" fontId="14" fillId="4" borderId="2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1" xfId="0" applyNumberFormat="1" applyBorder="1"/>
    <xf numFmtId="0" fontId="17" fillId="2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1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left" vertical="top" wrapText="1"/>
    </xf>
    <xf numFmtId="4" fontId="20" fillId="0" borderId="1" xfId="0" applyNumberFormat="1" applyFont="1" applyBorder="1"/>
    <xf numFmtId="0" fontId="1" fillId="0" borderId="1" xfId="0" applyFont="1" applyBorder="1"/>
    <xf numFmtId="0" fontId="25" fillId="3" borderId="2" xfId="0" applyFont="1" applyFill="1" applyBorder="1" applyAlignment="1">
      <alignment horizontal="left" vertical="top" wrapText="1"/>
    </xf>
    <xf numFmtId="0" fontId="5" fillId="0" borderId="0" xfId="0" applyFont="1"/>
    <xf numFmtId="0" fontId="26" fillId="0" borderId="0" xfId="0" applyFont="1"/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27" fillId="0" borderId="0" xfId="1"/>
    <xf numFmtId="0" fontId="1" fillId="0" borderId="0" xfId="1" applyFont="1" applyAlignment="1">
      <alignment horizontal="center"/>
    </xf>
    <xf numFmtId="0" fontId="11" fillId="2" borderId="1" xfId="1" applyFont="1" applyFill="1" applyBorder="1" applyAlignment="1">
      <alignment horizontal="left" vertical="center"/>
    </xf>
    <xf numFmtId="0" fontId="17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/>
    </xf>
    <xf numFmtId="0" fontId="27" fillId="0" borderId="1" xfId="1" applyBorder="1" applyAlignment="1"/>
    <xf numFmtId="4" fontId="29" fillId="4" borderId="1" xfId="2" applyNumberFormat="1" applyFont="1" applyFill="1" applyBorder="1" applyAlignment="1">
      <alignment vertical="top" wrapText="1"/>
    </xf>
    <xf numFmtId="4" fontId="28" fillId="4" borderId="1" xfId="2" applyNumberFormat="1" applyFont="1" applyFill="1" applyBorder="1" applyAlignment="1">
      <alignment horizontal="right" vertical="top" wrapText="1"/>
    </xf>
    <xf numFmtId="4" fontId="18" fillId="0" borderId="9" xfId="0" applyNumberFormat="1" applyFont="1" applyBorder="1"/>
    <xf numFmtId="4" fontId="19" fillId="0" borderId="10" xfId="0" applyNumberFormat="1" applyFont="1" applyBorder="1"/>
    <xf numFmtId="4" fontId="1" fillId="0" borderId="12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30" fillId="0" borderId="1" xfId="0" applyNumberFormat="1" applyFont="1" applyBorder="1"/>
    <xf numFmtId="4" fontId="12" fillId="2" borderId="1" xfId="0" applyNumberFormat="1" applyFont="1" applyFill="1" applyBorder="1" applyAlignment="1">
      <alignment horizontal="right" vertical="center" wrapText="1" indent="1"/>
    </xf>
    <xf numFmtId="4" fontId="30" fillId="0" borderId="1" xfId="0" applyNumberFormat="1" applyFont="1" applyFill="1" applyBorder="1"/>
    <xf numFmtId="4" fontId="12" fillId="0" borderId="1" xfId="0" applyNumberFormat="1" applyFont="1" applyBorder="1"/>
    <xf numFmtId="4" fontId="14" fillId="0" borderId="1" xfId="0" applyNumberFormat="1" applyFont="1" applyBorder="1"/>
    <xf numFmtId="4" fontId="15" fillId="0" borderId="1" xfId="0" applyNumberFormat="1" applyFont="1" applyBorder="1"/>
    <xf numFmtId="4" fontId="7" fillId="0" borderId="1" xfId="0" applyNumberFormat="1" applyFont="1" applyBorder="1"/>
    <xf numFmtId="4" fontId="7" fillId="4" borderId="1" xfId="0" applyNumberFormat="1" applyFont="1" applyFill="1" applyBorder="1"/>
    <xf numFmtId="4" fontId="14" fillId="4" borderId="1" xfId="0" applyNumberFormat="1" applyFont="1" applyFill="1" applyBorder="1"/>
    <xf numFmtId="4" fontId="14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7" fillId="0" borderId="1" xfId="1" applyBorder="1"/>
    <xf numFmtId="0" fontId="1" fillId="0" borderId="1" xfId="0" applyFont="1" applyBorder="1" applyAlignment="1">
      <alignment wrapText="1"/>
    </xf>
    <xf numFmtId="4" fontId="27" fillId="0" borderId="1" xfId="1" applyNumberFormat="1" applyBorder="1"/>
    <xf numFmtId="0" fontId="27" fillId="0" borderId="9" xfId="1" applyBorder="1"/>
    <xf numFmtId="0" fontId="1" fillId="0" borderId="1" xfId="1" applyFont="1" applyBorder="1" applyAlignment="1"/>
    <xf numFmtId="0" fontId="5" fillId="0" borderId="1" xfId="1" applyFont="1" applyBorder="1" applyAlignment="1"/>
    <xf numFmtId="4" fontId="7" fillId="0" borderId="1" xfId="1" applyNumberFormat="1" applyFont="1" applyBorder="1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0" fillId="0" borderId="2" xfId="0" applyBorder="1"/>
    <xf numFmtId="4" fontId="32" fillId="0" borderId="0" xfId="0" applyNumberFormat="1" applyFont="1"/>
    <xf numFmtId="0" fontId="32" fillId="0" borderId="0" xfId="0" applyFont="1"/>
    <xf numFmtId="0" fontId="31" fillId="0" borderId="7" xfId="0" applyFont="1" applyBorder="1" applyAlignment="1">
      <alignment horizontal="center" vertical="center" wrapText="1"/>
    </xf>
    <xf numFmtId="4" fontId="31" fillId="0" borderId="8" xfId="0" applyNumberFormat="1" applyFont="1" applyBorder="1"/>
    <xf numFmtId="4" fontId="31" fillId="0" borderId="5" xfId="0" applyNumberFormat="1" applyFont="1" applyBorder="1"/>
    <xf numFmtId="4" fontId="32" fillId="0" borderId="1" xfId="0" applyNumberFormat="1" applyFont="1" applyBorder="1"/>
    <xf numFmtId="4" fontId="31" fillId="2" borderId="1" xfId="0" applyNumberFormat="1" applyFont="1" applyFill="1" applyBorder="1" applyAlignment="1">
      <alignment horizontal="right" vertical="center" wrapText="1" indent="1"/>
    </xf>
    <xf numFmtId="4" fontId="31" fillId="0" borderId="1" xfId="0" applyNumberFormat="1" applyFont="1" applyBorder="1"/>
    <xf numFmtId="3" fontId="32" fillId="0" borderId="1" xfId="0" applyNumberFormat="1" applyFont="1" applyBorder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3" sqref="F23"/>
    </sheetView>
  </sheetViews>
  <sheetFormatPr defaultRowHeight="15" x14ac:dyDescent="0.25"/>
  <cols>
    <col min="1" max="1" width="81.7109375" customWidth="1"/>
    <col min="2" max="2" width="13.7109375" customWidth="1"/>
    <col min="3" max="6" width="13.28515625" customWidth="1"/>
    <col min="7" max="7" width="12.85546875" style="6" customWidth="1"/>
    <col min="8" max="10" width="12.5703125" customWidth="1"/>
  </cols>
  <sheetData>
    <row r="1" spans="1:8" ht="15.75" thickBot="1" x14ac:dyDescent="0.3">
      <c r="B1" s="88"/>
      <c r="C1" s="88"/>
      <c r="D1" s="88"/>
      <c r="E1" s="88"/>
      <c r="F1" s="15"/>
    </row>
    <row r="2" spans="1:8" ht="45.75" thickBot="1" x14ac:dyDescent="0.3">
      <c r="A2" s="1" t="s">
        <v>61</v>
      </c>
      <c r="B2" s="61" t="s">
        <v>75</v>
      </c>
      <c r="C2" s="61" t="s">
        <v>76</v>
      </c>
      <c r="D2" s="61" t="s">
        <v>77</v>
      </c>
      <c r="E2" s="61" t="s">
        <v>79</v>
      </c>
      <c r="F2" s="61" t="s">
        <v>80</v>
      </c>
      <c r="G2" s="61" t="s">
        <v>81</v>
      </c>
      <c r="H2" s="63" t="s">
        <v>63</v>
      </c>
    </row>
    <row r="3" spans="1:8" ht="32.25" customHeight="1" x14ac:dyDescent="0.25">
      <c r="A3" s="37" t="s">
        <v>73</v>
      </c>
      <c r="B3" s="5">
        <f>'Данные по МКД-6'!B21</f>
        <v>0</v>
      </c>
      <c r="C3" s="5">
        <f>'Данные по МКД-6'!C21</f>
        <v>0</v>
      </c>
      <c r="D3" s="5">
        <f>'Данные по МКД-6'!D21</f>
        <v>0</v>
      </c>
      <c r="E3" s="5">
        <f>'Данные по МКД-6'!E21</f>
        <v>0</v>
      </c>
      <c r="F3" s="5">
        <f>'Данные по МКД-6'!F21</f>
        <v>0</v>
      </c>
      <c r="G3" s="5">
        <f>'Данные по МКД-6'!G21</f>
        <v>0</v>
      </c>
      <c r="H3" s="7">
        <f>SUM(B3:G3)</f>
        <v>0</v>
      </c>
    </row>
    <row r="4" spans="1:8" ht="28.5" x14ac:dyDescent="0.25">
      <c r="A4" s="48" t="s">
        <v>74</v>
      </c>
      <c r="B4" s="5">
        <f>'Данные по МКД-2'!C22</f>
        <v>1889783.93</v>
      </c>
      <c r="C4" s="5">
        <f>'Данные по МКД-2'!D22</f>
        <v>2138080.6299999994</v>
      </c>
      <c r="D4" s="5">
        <f>'Данные по МКД-2'!E22</f>
        <v>5317189.07</v>
      </c>
      <c r="E4" s="5">
        <f>'Данные по МКД-2'!F22</f>
        <v>5734907.3400000008</v>
      </c>
      <c r="F4" s="5">
        <f>'Данные по МКД-2'!G22</f>
        <v>1522091.4700000002</v>
      </c>
      <c r="G4" s="5">
        <f>'Данные по МКД-2'!H22</f>
        <v>4386267.1900000004</v>
      </c>
      <c r="H4" s="7">
        <f>SUM(B4:G4)</f>
        <v>20988319.629999999</v>
      </c>
    </row>
    <row r="5" spans="1:8" ht="45" x14ac:dyDescent="0.25">
      <c r="A5" s="47" t="s">
        <v>82</v>
      </c>
      <c r="B5" s="7"/>
      <c r="C5" s="7"/>
      <c r="D5" s="7"/>
      <c r="E5" s="7"/>
      <c r="F5" s="7"/>
      <c r="G5" s="7"/>
      <c r="H5" s="7"/>
    </row>
    <row r="6" spans="1:8" s="29" customFormat="1" x14ac:dyDescent="0.25">
      <c r="A6" s="38" t="s">
        <v>52</v>
      </c>
      <c r="B6" s="31">
        <f>'Данные по МКД-4'!B51</f>
        <v>246720.02</v>
      </c>
      <c r="C6" s="31">
        <f>'Данные по МКД-4'!C51</f>
        <v>271807.48000000021</v>
      </c>
      <c r="D6" s="31">
        <f>'Данные по МКД-4'!D51</f>
        <v>683757.5</v>
      </c>
      <c r="E6" s="31">
        <f>'Данные по МКД-4'!E51</f>
        <v>593395.59</v>
      </c>
      <c r="F6" s="31">
        <f>'Данные по МКД-4'!F51</f>
        <v>896983.56</v>
      </c>
      <c r="G6" s="31">
        <f>'Данные по МКД-4'!G51</f>
        <v>251104.56</v>
      </c>
      <c r="H6" s="31">
        <f>SUM(B6:G6)</f>
        <v>2943768.7100000004</v>
      </c>
    </row>
    <row r="7" spans="1:8" s="28" customFormat="1" x14ac:dyDescent="0.25">
      <c r="A7" s="39" t="s">
        <v>53</v>
      </c>
      <c r="B7" s="32"/>
      <c r="C7" s="32"/>
      <c r="D7" s="32"/>
      <c r="E7" s="32"/>
      <c r="F7" s="32"/>
      <c r="G7" s="32"/>
      <c r="H7" s="32"/>
    </row>
    <row r="8" spans="1:8" s="28" customFormat="1" ht="15" customHeight="1" x14ac:dyDescent="0.25">
      <c r="A8" s="39" t="s">
        <v>54</v>
      </c>
      <c r="B8" s="32"/>
      <c r="C8" s="32"/>
      <c r="D8" s="32"/>
      <c r="E8" s="32"/>
      <c r="F8" s="32"/>
      <c r="G8" s="32"/>
      <c r="H8" s="32"/>
    </row>
    <row r="9" spans="1:8" s="29" customFormat="1" x14ac:dyDescent="0.25">
      <c r="A9" s="38" t="s">
        <v>55</v>
      </c>
      <c r="B9" s="31">
        <f>'Данные по МКД-4'!B68</f>
        <v>118897.39</v>
      </c>
      <c r="C9" s="31">
        <f>'Данные по МКД-4'!C68</f>
        <v>83671.849999999977</v>
      </c>
      <c r="D9" s="31">
        <f>'Данные по МКД-4'!D68</f>
        <v>337272.16000000003</v>
      </c>
      <c r="E9" s="31">
        <f>'Данные по МКД-4'!E68</f>
        <v>305336.78000000003</v>
      </c>
      <c r="F9" s="31">
        <f>'Данные по МКД-4'!F68</f>
        <v>456596.99</v>
      </c>
      <c r="G9" s="31">
        <f>'Данные по МКД-4'!G68</f>
        <v>128113.08</v>
      </c>
      <c r="H9" s="31">
        <f>SUM(B9:G9)</f>
        <v>1429888.25</v>
      </c>
    </row>
    <row r="10" spans="1:8" s="29" customFormat="1" x14ac:dyDescent="0.25">
      <c r="A10" s="38" t="s">
        <v>56</v>
      </c>
      <c r="B10" s="31">
        <f>'Данные по МКД-4'!B34</f>
        <v>15075.09</v>
      </c>
      <c r="C10" s="31">
        <f>'Данные по МКД-4'!C34</f>
        <v>289336.17</v>
      </c>
      <c r="D10" s="31">
        <f>'Данные по МКД-4'!D34</f>
        <v>0</v>
      </c>
      <c r="E10" s="31">
        <f>'Данные по МКД-4'!E34</f>
        <v>0</v>
      </c>
      <c r="F10" s="31">
        <f>'Данные по МКД-4'!F34</f>
        <v>0</v>
      </c>
      <c r="G10" s="31">
        <f>'Данные по МКД-4'!G34</f>
        <v>0</v>
      </c>
      <c r="H10" s="31">
        <f>SUM(B10:G10)</f>
        <v>304411.26</v>
      </c>
    </row>
    <row r="11" spans="1:8" s="29" customFormat="1" x14ac:dyDescent="0.25">
      <c r="A11" s="38" t="s">
        <v>57</v>
      </c>
      <c r="B11" s="31">
        <f>'Данные по МКД-4'!B85</f>
        <v>26576.69</v>
      </c>
      <c r="C11" s="31">
        <f>'Данные по МКД-4'!C85</f>
        <v>517215.51</v>
      </c>
      <c r="D11" s="31">
        <f>'Данные по МКД-4'!D85</f>
        <v>10370.370000000001</v>
      </c>
      <c r="E11" s="31">
        <f>'Данные по МКД-4'!E85</f>
        <v>0</v>
      </c>
      <c r="F11" s="31">
        <f>'Данные по МКД-4'!F85</f>
        <v>15474.56</v>
      </c>
      <c r="G11" s="31">
        <f>'Данные по МКД-4'!G85</f>
        <v>0</v>
      </c>
      <c r="H11" s="31">
        <f>SUM(B11:G11)</f>
        <v>569637.13</v>
      </c>
    </row>
    <row r="12" spans="1:8" x14ac:dyDescent="0.25">
      <c r="A12" s="40" t="s">
        <v>58</v>
      </c>
      <c r="B12" s="33"/>
      <c r="C12" s="33"/>
      <c r="D12" s="33"/>
      <c r="E12" s="33"/>
      <c r="F12" s="33"/>
      <c r="G12" s="33"/>
      <c r="H12" s="33"/>
    </row>
    <row r="13" spans="1:8" s="29" customFormat="1" x14ac:dyDescent="0.25">
      <c r="A13" s="38" t="s">
        <v>59</v>
      </c>
      <c r="B13" s="30">
        <f>'Данные по МКД-4'!B17</f>
        <v>0</v>
      </c>
      <c r="C13" s="30">
        <f>'Данные по МКД-4'!C17</f>
        <v>0</v>
      </c>
      <c r="D13" s="30">
        <f>'Данные по МКД-4'!D17</f>
        <v>0</v>
      </c>
      <c r="E13" s="30">
        <f>'Данные по МКД-4'!E17</f>
        <v>0</v>
      </c>
      <c r="F13" s="30">
        <f>'Данные по МКД-4'!F17</f>
        <v>0</v>
      </c>
      <c r="G13" s="30">
        <f>'Данные по МКД-4'!G17</f>
        <v>0</v>
      </c>
      <c r="H13" s="87">
        <f>SUM(B13:G13)</f>
        <v>0</v>
      </c>
    </row>
    <row r="14" spans="1:8" x14ac:dyDescent="0.25">
      <c r="A14" s="40" t="s">
        <v>60</v>
      </c>
      <c r="B14" s="33"/>
      <c r="C14" s="33"/>
      <c r="D14" s="33"/>
      <c r="E14" s="33"/>
      <c r="F14" s="33"/>
      <c r="G14" s="34"/>
      <c r="H14" s="34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zoomScale="85" zoomScaleNormal="85" workbookViewId="0">
      <pane xSplit="1" ySplit="3" topLeftCell="B67" activePane="bottomRight" state="frozen"/>
      <selection pane="topRight" activeCell="B1" sqref="B1"/>
      <selection pane="bottomLeft" activeCell="A4" sqref="A4"/>
      <selection pane="bottomRight" activeCell="I79" sqref="I79"/>
    </sheetView>
  </sheetViews>
  <sheetFormatPr defaultRowHeight="15" x14ac:dyDescent="0.25"/>
  <cols>
    <col min="1" max="1" width="97.85546875" style="10" bestFit="1" customWidth="1"/>
    <col min="2" max="4" width="16.85546875" customWidth="1"/>
    <col min="5" max="5" width="16.85546875" style="1" customWidth="1"/>
    <col min="6" max="6" width="16.85546875" style="12" customWidth="1"/>
    <col min="7" max="7" width="16.85546875" style="53" customWidth="1"/>
    <col min="8" max="8" width="16.7109375" customWidth="1"/>
  </cols>
  <sheetData>
    <row r="1" spans="1:7" x14ac:dyDescent="0.25">
      <c r="A1" s="65" t="s">
        <v>62</v>
      </c>
      <c r="B1" s="64"/>
      <c r="C1" s="64"/>
      <c r="D1" s="64"/>
      <c r="E1" s="64"/>
      <c r="F1" s="64"/>
      <c r="G1" s="93"/>
    </row>
    <row r="2" spans="1:7" ht="29.25" customHeight="1" x14ac:dyDescent="0.25">
      <c r="A2" s="94" t="s">
        <v>40</v>
      </c>
      <c r="B2" s="91" t="s">
        <v>75</v>
      </c>
      <c r="C2" s="91" t="s">
        <v>76</v>
      </c>
      <c r="D2" s="91" t="s">
        <v>77</v>
      </c>
      <c r="E2" s="91" t="s">
        <v>79</v>
      </c>
      <c r="F2" s="91" t="s">
        <v>80</v>
      </c>
      <c r="G2" s="91" t="s">
        <v>81</v>
      </c>
    </row>
    <row r="3" spans="1:7" ht="15.75" customHeight="1" x14ac:dyDescent="0.25">
      <c r="A3" s="70"/>
      <c r="B3" s="90">
        <v>1</v>
      </c>
      <c r="C3" s="90">
        <v>2</v>
      </c>
      <c r="D3" s="90">
        <v>3</v>
      </c>
      <c r="E3" s="90">
        <v>5</v>
      </c>
      <c r="F3" s="90">
        <v>6</v>
      </c>
      <c r="G3" s="90">
        <v>4</v>
      </c>
    </row>
    <row r="4" spans="1:7" s="8" customFormat="1" x14ac:dyDescent="0.25">
      <c r="A4" s="66" t="s">
        <v>41</v>
      </c>
      <c r="B4" s="81"/>
      <c r="C4" s="82"/>
      <c r="D4" s="81"/>
      <c r="E4" s="81"/>
      <c r="F4" s="81"/>
      <c r="G4" s="81"/>
    </row>
    <row r="5" spans="1:7" s="8" customFormat="1" x14ac:dyDescent="0.25">
      <c r="A5" s="67" t="s">
        <v>68</v>
      </c>
      <c r="B5" s="82"/>
      <c r="C5" s="82"/>
      <c r="D5" s="82"/>
      <c r="E5" s="82"/>
      <c r="F5" s="82"/>
      <c r="G5" s="82"/>
    </row>
    <row r="6" spans="1:7" s="8" customFormat="1" x14ac:dyDescent="0.25">
      <c r="A6" s="66"/>
      <c r="B6" s="83"/>
      <c r="C6" s="82"/>
      <c r="D6" s="83"/>
      <c r="E6" s="83"/>
      <c r="F6" s="83"/>
      <c r="G6" s="83"/>
    </row>
    <row r="7" spans="1:7" x14ac:dyDescent="0.25">
      <c r="A7" s="68" t="s">
        <v>64</v>
      </c>
      <c r="B7" s="84"/>
      <c r="C7" s="84"/>
      <c r="D7" s="84"/>
      <c r="E7" s="84"/>
      <c r="F7" s="84"/>
      <c r="G7" s="84"/>
    </row>
    <row r="8" spans="1:7" x14ac:dyDescent="0.25">
      <c r="A8" s="68"/>
      <c r="B8" s="84"/>
      <c r="C8" s="84"/>
      <c r="D8" s="84"/>
      <c r="E8" s="84"/>
      <c r="F8" s="84"/>
      <c r="G8" s="84"/>
    </row>
    <row r="9" spans="1:7" x14ac:dyDescent="0.25">
      <c r="A9" s="68" t="s">
        <v>34</v>
      </c>
      <c r="B9" s="84"/>
      <c r="C9" s="84"/>
      <c r="D9" s="84"/>
      <c r="E9" s="84"/>
      <c r="F9" s="84"/>
      <c r="G9" s="84"/>
    </row>
    <row r="10" spans="1:7" x14ac:dyDescent="0.25">
      <c r="A10" s="68"/>
      <c r="B10" s="84"/>
      <c r="C10" s="84"/>
      <c r="D10" s="84"/>
      <c r="E10" s="84"/>
      <c r="F10" s="84"/>
      <c r="G10" s="84"/>
    </row>
    <row r="11" spans="1:7" x14ac:dyDescent="0.25">
      <c r="A11" s="68" t="s">
        <v>35</v>
      </c>
      <c r="B11" s="84"/>
      <c r="C11" s="84"/>
      <c r="D11" s="84"/>
      <c r="E11" s="84"/>
      <c r="F11" s="84"/>
      <c r="G11" s="84"/>
    </row>
    <row r="12" spans="1:7" x14ac:dyDescent="0.25">
      <c r="A12" s="68"/>
      <c r="B12" s="84"/>
      <c r="C12" s="84"/>
      <c r="D12" s="84"/>
      <c r="E12" s="84"/>
      <c r="F12" s="84"/>
      <c r="G12" s="84"/>
    </row>
    <row r="13" spans="1:7" s="29" customFormat="1" x14ac:dyDescent="0.25">
      <c r="A13" s="69" t="s">
        <v>36</v>
      </c>
      <c r="B13" s="85">
        <v>157201.57999999999</v>
      </c>
      <c r="C13" s="72">
        <v>154213.71</v>
      </c>
      <c r="D13" s="85">
        <v>156144.85999999999</v>
      </c>
      <c r="E13" s="85">
        <v>110989.89</v>
      </c>
      <c r="F13" s="85">
        <v>109466.99</v>
      </c>
      <c r="G13" s="85">
        <v>46894.96</v>
      </c>
    </row>
    <row r="14" spans="1:7" x14ac:dyDescent="0.25">
      <c r="A14" s="68"/>
      <c r="B14" s="84"/>
      <c r="C14" s="84"/>
      <c r="D14" s="84"/>
      <c r="E14" s="84"/>
      <c r="F14" s="84"/>
      <c r="G14" s="84"/>
    </row>
    <row r="15" spans="1:7" s="29" customFormat="1" x14ac:dyDescent="0.25">
      <c r="A15" s="69" t="s">
        <v>37</v>
      </c>
      <c r="B15" s="86">
        <v>157201.57999999999</v>
      </c>
      <c r="C15" s="86">
        <f>15414.64+154213.71</f>
        <v>169628.34999999998</v>
      </c>
      <c r="D15" s="86">
        <v>156144.85999999999</v>
      </c>
      <c r="E15" s="86">
        <v>110989.89</v>
      </c>
      <c r="F15" s="86">
        <v>109466.99</v>
      </c>
      <c r="G15" s="86">
        <v>46894.96</v>
      </c>
    </row>
    <row r="16" spans="1:7" x14ac:dyDescent="0.25">
      <c r="A16" s="68"/>
      <c r="B16" s="82"/>
      <c r="C16" s="82"/>
      <c r="D16" s="82"/>
      <c r="E16" s="82"/>
      <c r="F16" s="82"/>
      <c r="G16" s="82"/>
    </row>
    <row r="17" spans="1:7" s="29" customFormat="1" x14ac:dyDescent="0.25">
      <c r="A17" s="69" t="s">
        <v>78</v>
      </c>
      <c r="B17" s="86">
        <v>0</v>
      </c>
      <c r="C17" s="72">
        <v>0</v>
      </c>
      <c r="D17" s="86">
        <v>0</v>
      </c>
      <c r="E17" s="86">
        <v>0</v>
      </c>
      <c r="F17" s="86">
        <v>0</v>
      </c>
      <c r="G17" s="86">
        <v>0</v>
      </c>
    </row>
    <row r="18" spans="1:7" x14ac:dyDescent="0.25">
      <c r="A18" s="68"/>
      <c r="B18" s="84"/>
      <c r="C18" s="84"/>
      <c r="D18" s="84"/>
      <c r="E18" s="84"/>
      <c r="F18" s="84"/>
      <c r="G18" s="84"/>
    </row>
    <row r="19" spans="1:7" x14ac:dyDescent="0.25">
      <c r="A19" s="68" t="s">
        <v>39</v>
      </c>
      <c r="B19" s="84"/>
      <c r="C19" s="84"/>
      <c r="D19" s="84"/>
      <c r="E19" s="84"/>
      <c r="F19" s="84"/>
      <c r="G19" s="84"/>
    </row>
    <row r="20" spans="1:7" x14ac:dyDescent="0.25">
      <c r="A20" s="68"/>
      <c r="B20" s="84"/>
      <c r="C20" s="84"/>
      <c r="D20" s="84"/>
      <c r="E20" s="84"/>
      <c r="F20" s="84"/>
      <c r="G20" s="84"/>
    </row>
    <row r="21" spans="1:7" s="8" customFormat="1" x14ac:dyDescent="0.25">
      <c r="A21" s="66" t="s">
        <v>42</v>
      </c>
      <c r="B21" s="83"/>
      <c r="C21" s="82"/>
      <c r="D21" s="83"/>
      <c r="E21" s="83"/>
      <c r="F21" s="83"/>
      <c r="G21" s="83"/>
    </row>
    <row r="22" spans="1:7" s="8" customFormat="1" x14ac:dyDescent="0.25">
      <c r="A22" s="67" t="s">
        <v>68</v>
      </c>
      <c r="B22" s="82">
        <v>191766.15</v>
      </c>
      <c r="C22" s="82">
        <v>227420.86</v>
      </c>
      <c r="D22" s="82">
        <v>523999.73</v>
      </c>
      <c r="E22" s="82">
        <v>786518.89</v>
      </c>
      <c r="F22" s="82">
        <v>215109.54</v>
      </c>
      <c r="G22" s="82">
        <v>402100.81</v>
      </c>
    </row>
    <row r="23" spans="1:7" s="8" customFormat="1" x14ac:dyDescent="0.25">
      <c r="A23" s="66"/>
      <c r="B23" s="83"/>
      <c r="C23" s="82"/>
      <c r="D23" s="83"/>
      <c r="E23" s="83"/>
      <c r="F23" s="83"/>
      <c r="G23" s="83"/>
    </row>
    <row r="24" spans="1:7" x14ac:dyDescent="0.25">
      <c r="A24" s="68" t="s">
        <v>65</v>
      </c>
      <c r="B24" s="84">
        <f>B22/29.04</f>
        <v>6603.5175619834708</v>
      </c>
      <c r="C24" s="84">
        <f t="shared" ref="C24:G24" si="0">C22/29.04</f>
        <v>7831.2968319559222</v>
      </c>
      <c r="D24" s="84">
        <f t="shared" si="0"/>
        <v>18044.067837465565</v>
      </c>
      <c r="E24" s="84">
        <f t="shared" si="0"/>
        <v>27083.983815427</v>
      </c>
      <c r="F24" s="84">
        <f t="shared" si="0"/>
        <v>7407.3533057851246</v>
      </c>
      <c r="G24" s="84">
        <f t="shared" si="0"/>
        <v>13846.446625344353</v>
      </c>
    </row>
    <row r="25" spans="1:7" x14ac:dyDescent="0.25">
      <c r="A25" s="68"/>
      <c r="B25" s="84"/>
      <c r="C25" s="84"/>
      <c r="D25" s="84"/>
      <c r="E25" s="84"/>
      <c r="F25" s="84"/>
      <c r="G25" s="84"/>
    </row>
    <row r="26" spans="1:7" x14ac:dyDescent="0.25">
      <c r="A26" s="68" t="s">
        <v>34</v>
      </c>
      <c r="B26" s="84">
        <f>B93*0.08</f>
        <v>185840.49328000002</v>
      </c>
      <c r="C26" s="84">
        <f>C93*0.09</f>
        <v>203198.26972499996</v>
      </c>
      <c r="D26" s="84">
        <f t="shared" ref="D26:G26" si="1">D93*0.08</f>
        <v>503819.05423200002</v>
      </c>
      <c r="E26" s="84">
        <f>E93*0.09</f>
        <v>667538.66649600002</v>
      </c>
      <c r="F26" s="84">
        <f>F93*0.09</f>
        <v>214461.89283600001</v>
      </c>
      <c r="G26" s="84">
        <f t="shared" si="1"/>
        <v>377581.60961600009</v>
      </c>
    </row>
    <row r="27" spans="1:7" x14ac:dyDescent="0.25">
      <c r="A27" s="68"/>
      <c r="B27" s="84"/>
      <c r="C27" s="84"/>
      <c r="D27" s="84"/>
      <c r="E27" s="84"/>
      <c r="F27" s="84"/>
      <c r="G27" s="84"/>
    </row>
    <row r="28" spans="1:7" x14ac:dyDescent="0.25">
      <c r="A28" s="68" t="s">
        <v>35</v>
      </c>
      <c r="B28" s="84">
        <f>B94*0.08</f>
        <v>78306.862720000005</v>
      </c>
      <c r="C28" s="84">
        <f>C94*0.09</f>
        <v>42712.491375000027</v>
      </c>
      <c r="D28" s="84">
        <f t="shared" ref="D28:G28" si="2">D94*0.08</f>
        <v>251132.50496799999</v>
      </c>
      <c r="E28" s="84">
        <f>E94*0.09</f>
        <v>625895.885304</v>
      </c>
      <c r="F28" s="84">
        <f>F94*0.09</f>
        <v>157321.56236400001</v>
      </c>
      <c r="G28" s="84">
        <f t="shared" si="2"/>
        <v>55187.606384000035</v>
      </c>
    </row>
    <row r="29" spans="1:7" x14ac:dyDescent="0.25">
      <c r="A29" s="68"/>
      <c r="B29" s="84"/>
      <c r="C29" s="84"/>
      <c r="D29" s="84"/>
      <c r="E29" s="84"/>
      <c r="F29" s="84"/>
      <c r="G29" s="84"/>
    </row>
    <row r="30" spans="1:7" s="29" customFormat="1" x14ac:dyDescent="0.25">
      <c r="A30" s="69" t="s">
        <v>36</v>
      </c>
      <c r="B30" s="72">
        <v>180130.89</v>
      </c>
      <c r="C30" s="72">
        <v>252809.74</v>
      </c>
      <c r="D30" s="72">
        <v>634302.74</v>
      </c>
      <c r="E30" s="85">
        <v>382615.92</v>
      </c>
      <c r="F30" s="71">
        <v>800659.33</v>
      </c>
      <c r="G30" s="72">
        <v>200303.97</v>
      </c>
    </row>
    <row r="31" spans="1:7" x14ac:dyDescent="0.25">
      <c r="A31" s="68"/>
      <c r="B31" s="84"/>
      <c r="C31" s="84"/>
      <c r="D31" s="84"/>
      <c r="E31" s="84"/>
      <c r="F31" s="84"/>
      <c r="G31" s="84"/>
    </row>
    <row r="32" spans="1:7" s="29" customFormat="1" x14ac:dyDescent="0.25">
      <c r="A32" s="69" t="s">
        <v>37</v>
      </c>
      <c r="B32" s="72">
        <v>181653.63</v>
      </c>
      <c r="C32" s="85">
        <v>0</v>
      </c>
      <c r="D32" s="72">
        <v>695795.89</v>
      </c>
      <c r="E32" s="85">
        <v>538676.63</v>
      </c>
      <c r="F32" s="85">
        <v>865446.27</v>
      </c>
      <c r="G32" s="72">
        <v>221184.21</v>
      </c>
    </row>
    <row r="33" spans="1:7" x14ac:dyDescent="0.25">
      <c r="A33" s="68"/>
      <c r="B33" s="84"/>
      <c r="C33" s="84"/>
      <c r="D33" s="84"/>
      <c r="E33" s="84"/>
      <c r="F33" s="84"/>
      <c r="G33" s="84"/>
    </row>
    <row r="34" spans="1:7" s="29" customFormat="1" x14ac:dyDescent="0.25">
      <c r="A34" s="69" t="s">
        <v>38</v>
      </c>
      <c r="B34" s="72">
        <v>15075.09</v>
      </c>
      <c r="C34" s="72">
        <f>36526.43+252809.74</f>
        <v>289336.17</v>
      </c>
      <c r="D34" s="72">
        <v>0</v>
      </c>
      <c r="E34" s="85">
        <v>0</v>
      </c>
      <c r="F34" s="85">
        <v>0</v>
      </c>
      <c r="G34" s="72">
        <v>0</v>
      </c>
    </row>
    <row r="35" spans="1:7" x14ac:dyDescent="0.25">
      <c r="A35" s="68"/>
      <c r="B35" s="84"/>
      <c r="C35" s="84"/>
      <c r="D35" s="84"/>
      <c r="E35" s="84"/>
      <c r="F35" s="84"/>
      <c r="G35" s="84"/>
    </row>
    <row r="36" spans="1:7" x14ac:dyDescent="0.25">
      <c r="A36" s="68" t="s">
        <v>39</v>
      </c>
      <c r="B36" s="84"/>
      <c r="C36" s="84"/>
      <c r="D36" s="84"/>
      <c r="E36" s="84"/>
      <c r="F36" s="84"/>
      <c r="G36" s="84"/>
    </row>
    <row r="37" spans="1:7" x14ac:dyDescent="0.25">
      <c r="A37" s="68"/>
      <c r="B37" s="84"/>
      <c r="C37" s="84"/>
      <c r="D37" s="84"/>
      <c r="E37" s="84"/>
      <c r="F37" s="84"/>
      <c r="G37" s="84"/>
    </row>
    <row r="38" spans="1:7" s="9" customFormat="1" x14ac:dyDescent="0.25">
      <c r="A38" s="66" t="s">
        <v>43</v>
      </c>
      <c r="B38" s="82"/>
      <c r="C38" s="82"/>
      <c r="D38" s="82"/>
      <c r="E38" s="82"/>
      <c r="F38" s="82"/>
      <c r="G38" s="82"/>
    </row>
    <row r="39" spans="1:7" s="8" customFormat="1" x14ac:dyDescent="0.25">
      <c r="A39" s="67" t="s">
        <v>68</v>
      </c>
      <c r="B39" s="82">
        <v>1332559.49</v>
      </c>
      <c r="C39" s="82">
        <v>1232185.81</v>
      </c>
      <c r="D39" s="82">
        <v>3574372.04</v>
      </c>
      <c r="E39" s="82">
        <v>4889176.18</v>
      </c>
      <c r="F39" s="82">
        <v>1338148.77</v>
      </c>
      <c r="G39" s="82">
        <v>3015438.85</v>
      </c>
    </row>
    <row r="40" spans="1:7" s="8" customFormat="1" x14ac:dyDescent="0.25">
      <c r="A40" s="66"/>
      <c r="B40" s="83"/>
      <c r="C40" s="82"/>
      <c r="D40" s="82"/>
      <c r="E40" s="82"/>
      <c r="F40" s="82"/>
      <c r="G40" s="82"/>
    </row>
    <row r="41" spans="1:7" x14ac:dyDescent="0.25">
      <c r="A41" s="68" t="s">
        <v>66</v>
      </c>
      <c r="B41" s="84">
        <f>B39/1712.29</f>
        <v>778.23236134066076</v>
      </c>
      <c r="C41" s="84">
        <f t="shared" ref="C41:G41" si="3">C39/1712.29</f>
        <v>719.61280507390688</v>
      </c>
      <c r="D41" s="84">
        <f t="shared" si="3"/>
        <v>2087.4805319192428</v>
      </c>
      <c r="E41" s="84">
        <f t="shared" si="3"/>
        <v>2855.3435340976121</v>
      </c>
      <c r="F41" s="84">
        <f t="shared" si="3"/>
        <v>781.49657476245261</v>
      </c>
      <c r="G41" s="84">
        <f t="shared" si="3"/>
        <v>1761.0561587114332</v>
      </c>
    </row>
    <row r="42" spans="1:7" x14ac:dyDescent="0.25">
      <c r="A42" s="68"/>
      <c r="B42" s="84"/>
      <c r="C42" s="84"/>
      <c r="D42" s="84"/>
      <c r="E42" s="84"/>
      <c r="F42" s="84"/>
      <c r="G42" s="84"/>
    </row>
    <row r="43" spans="1:7" x14ac:dyDescent="0.25">
      <c r="A43" s="68" t="s">
        <v>34</v>
      </c>
      <c r="B43" s="84">
        <f>B93*0.58</f>
        <v>1347343.5762799999</v>
      </c>
      <c r="C43" s="84">
        <f>C93*0.51</f>
        <v>1151456.8617749999</v>
      </c>
      <c r="D43" s="84">
        <f>D93*0.57</f>
        <v>3589710.761403</v>
      </c>
      <c r="E43" s="84">
        <f>E93*0.56</f>
        <v>4153573.9248640011</v>
      </c>
      <c r="F43" s="84">
        <f>F93*0.55</f>
        <v>1310600.4562200003</v>
      </c>
      <c r="G43" s="84">
        <f>G93*0.61</f>
        <v>2879059.7733220002</v>
      </c>
    </row>
    <row r="44" spans="1:7" x14ac:dyDescent="0.25">
      <c r="A44" s="68"/>
      <c r="B44" s="84"/>
      <c r="C44" s="84"/>
      <c r="D44" s="84"/>
      <c r="E44" s="84"/>
      <c r="F44" s="84"/>
      <c r="G44" s="84"/>
    </row>
    <row r="45" spans="1:7" x14ac:dyDescent="0.25">
      <c r="A45" s="68" t="s">
        <v>35</v>
      </c>
      <c r="B45" s="84">
        <f>B94*0.58</f>
        <v>567724.75471999997</v>
      </c>
      <c r="C45" s="84">
        <f>C94*0.51</f>
        <v>242037.45112500014</v>
      </c>
      <c r="D45" s="84">
        <f>D94*0.57</f>
        <v>1789319.0978969997</v>
      </c>
      <c r="E45" s="84">
        <f>E94*0.56</f>
        <v>3894463.2863360005</v>
      </c>
      <c r="F45" s="84">
        <f>F94*0.55</f>
        <v>961409.54778000014</v>
      </c>
      <c r="G45" s="84">
        <f>G94*0.61</f>
        <v>420805.49867800024</v>
      </c>
    </row>
    <row r="46" spans="1:7" x14ac:dyDescent="0.25">
      <c r="A46" s="68"/>
      <c r="B46" s="84"/>
      <c r="C46" s="84"/>
      <c r="D46" s="84"/>
      <c r="E46" s="84"/>
      <c r="F46" s="84"/>
      <c r="G46" s="84"/>
    </row>
    <row r="47" spans="1:7" s="29" customFormat="1" x14ac:dyDescent="0.25">
      <c r="A47" s="69" t="s">
        <v>36</v>
      </c>
      <c r="B47" s="85">
        <v>1323868.21</v>
      </c>
      <c r="C47" s="72">
        <v>1271789.07</v>
      </c>
      <c r="D47" s="85">
        <v>3562369.55</v>
      </c>
      <c r="E47" s="85">
        <v>2858857</v>
      </c>
      <c r="F47" s="85">
        <v>4824390.2699999996</v>
      </c>
      <c r="G47" s="85">
        <v>1154539.31</v>
      </c>
    </row>
    <row r="48" spans="1:7" x14ac:dyDescent="0.25">
      <c r="A48" s="68"/>
      <c r="B48" s="84"/>
      <c r="C48" s="84"/>
      <c r="D48" s="84"/>
      <c r="E48" s="84"/>
      <c r="F48" s="84"/>
      <c r="G48" s="84"/>
    </row>
    <row r="49" spans="1:7" s="29" customFormat="1" x14ac:dyDescent="0.25">
      <c r="A49" s="69" t="s">
        <v>37</v>
      </c>
      <c r="B49" s="85">
        <f>173898.1+1323868.21-246720.02</f>
        <v>1251046.29</v>
      </c>
      <c r="C49" s="85">
        <v>1219171.43</v>
      </c>
      <c r="D49" s="85">
        <f>705714.41+3562369.55-683757.5</f>
        <v>3584326.46</v>
      </c>
      <c r="E49" s="85">
        <f>563813.28+2858857-593395.59</f>
        <v>2829274.6900000004</v>
      </c>
      <c r="F49" s="85">
        <f>609642.21+4824390.27-896983.56</f>
        <v>4537048.92</v>
      </c>
      <c r="G49" s="85">
        <f>395519.67+1154539.31-251104.56</f>
        <v>1298954.42</v>
      </c>
    </row>
    <row r="50" spans="1:7" x14ac:dyDescent="0.25">
      <c r="A50" s="68"/>
      <c r="B50" s="84"/>
      <c r="C50" s="84"/>
      <c r="D50" s="84"/>
      <c r="E50" s="84"/>
      <c r="F50" s="84"/>
      <c r="G50" s="84"/>
    </row>
    <row r="51" spans="1:7" s="29" customFormat="1" x14ac:dyDescent="0.25">
      <c r="A51" s="69" t="s">
        <v>38</v>
      </c>
      <c r="B51" s="85">
        <f>246720.02</f>
        <v>246720.02</v>
      </c>
      <c r="C51" s="85">
        <f>219189.84+1271789.07-1219171.43</f>
        <v>271807.48000000021</v>
      </c>
      <c r="D51" s="85">
        <v>683757.5</v>
      </c>
      <c r="E51" s="85">
        <v>593395.59</v>
      </c>
      <c r="F51" s="85">
        <v>896983.56</v>
      </c>
      <c r="G51" s="85">
        <v>251104.56</v>
      </c>
    </row>
    <row r="52" spans="1:7" x14ac:dyDescent="0.25">
      <c r="A52" s="68"/>
      <c r="B52" s="84"/>
      <c r="C52" s="84"/>
      <c r="D52" s="84"/>
      <c r="E52" s="84"/>
      <c r="F52" s="84"/>
      <c r="G52" s="84"/>
    </row>
    <row r="53" spans="1:7" x14ac:dyDescent="0.25">
      <c r="A53" s="68" t="s">
        <v>39</v>
      </c>
      <c r="B53" s="84"/>
      <c r="C53" s="84"/>
      <c r="D53" s="84"/>
      <c r="E53" s="84"/>
      <c r="F53" s="84"/>
      <c r="G53" s="84"/>
    </row>
    <row r="54" spans="1:7" x14ac:dyDescent="0.25">
      <c r="A54" s="68"/>
      <c r="B54" s="84"/>
      <c r="C54" s="84"/>
      <c r="D54" s="84"/>
      <c r="E54" s="84"/>
      <c r="F54" s="84"/>
      <c r="G54" s="84"/>
    </row>
    <row r="55" spans="1:7" s="9" customFormat="1" x14ac:dyDescent="0.25">
      <c r="A55" s="66" t="s">
        <v>44</v>
      </c>
      <c r="B55" s="82"/>
      <c r="C55" s="82"/>
      <c r="D55" s="82"/>
      <c r="E55" s="82"/>
      <c r="F55" s="82"/>
      <c r="G55" s="82"/>
    </row>
    <row r="56" spans="1:7" s="8" customFormat="1" x14ac:dyDescent="0.25">
      <c r="A56" s="67" t="s">
        <v>68</v>
      </c>
      <c r="B56" s="82">
        <v>459124.39</v>
      </c>
      <c r="C56" s="82">
        <v>582305.07999999996</v>
      </c>
      <c r="D56" s="82">
        <v>1279521.06</v>
      </c>
      <c r="E56" s="82">
        <v>1728535.74</v>
      </c>
      <c r="F56" s="82">
        <v>510367.52</v>
      </c>
      <c r="G56" s="82">
        <v>897157.42</v>
      </c>
    </row>
    <row r="57" spans="1:7" s="8" customFormat="1" x14ac:dyDescent="0.25">
      <c r="A57" s="66"/>
      <c r="B57" s="83"/>
      <c r="C57" s="82"/>
      <c r="D57" s="83"/>
      <c r="E57" s="83"/>
      <c r="F57" s="83"/>
      <c r="G57" s="83"/>
    </row>
    <row r="58" spans="1:7" x14ac:dyDescent="0.25">
      <c r="A58" s="68" t="s">
        <v>66</v>
      </c>
      <c r="B58" s="84">
        <f>B56/1712.29</f>
        <v>268.13471432993242</v>
      </c>
      <c r="C58" s="84">
        <f t="shared" ref="C58:G58" si="4">C56/1712.29</f>
        <v>340.07386599232603</v>
      </c>
      <c r="D58" s="84">
        <f t="shared" si="4"/>
        <v>747.25721694339165</v>
      </c>
      <c r="E58" s="84">
        <f t="shared" si="4"/>
        <v>1009.4877269621385</v>
      </c>
      <c r="F58" s="84">
        <f t="shared" si="4"/>
        <v>298.06137978963847</v>
      </c>
      <c r="G58" s="84">
        <f t="shared" si="4"/>
        <v>523.95179554865126</v>
      </c>
    </row>
    <row r="59" spans="1:7" x14ac:dyDescent="0.25">
      <c r="A59" s="68"/>
      <c r="B59" s="84"/>
      <c r="C59" s="84"/>
      <c r="D59" s="84"/>
      <c r="E59" s="84"/>
      <c r="F59" s="84"/>
      <c r="G59" s="84"/>
    </row>
    <row r="60" spans="1:7" x14ac:dyDescent="0.25">
      <c r="A60" s="68" t="s">
        <v>34</v>
      </c>
      <c r="B60" s="84">
        <f>B93*0.2</f>
        <v>464601.23320000008</v>
      </c>
      <c r="C60" s="84">
        <f>C93*0.24</f>
        <v>541862.05259999994</v>
      </c>
      <c r="D60" s="84">
        <f t="shared" ref="D60" si="5">D93*0.2</f>
        <v>1259547.6355800002</v>
      </c>
      <c r="E60" s="84">
        <f>E93*0.2</f>
        <v>1483419.2588800003</v>
      </c>
      <c r="F60" s="84">
        <f>F93*0.21</f>
        <v>500411.08328399999</v>
      </c>
      <c r="G60" s="84">
        <f>G93*0.18</f>
        <v>849558.62163600011</v>
      </c>
    </row>
    <row r="61" spans="1:7" x14ac:dyDescent="0.25">
      <c r="A61" s="68"/>
      <c r="B61" s="84"/>
      <c r="C61" s="84"/>
      <c r="D61" s="84"/>
      <c r="E61" s="84"/>
      <c r="F61" s="84"/>
      <c r="G61" s="84"/>
    </row>
    <row r="62" spans="1:7" x14ac:dyDescent="0.25">
      <c r="A62" s="68" t="s">
        <v>35</v>
      </c>
      <c r="B62" s="84">
        <f>B94*0.2</f>
        <v>195767.1568</v>
      </c>
      <c r="C62" s="84">
        <f>C94*0.24</f>
        <v>113899.97700000006</v>
      </c>
      <c r="D62" s="84">
        <f t="shared" ref="D62:E62" si="6">D94*0.2</f>
        <v>627831.26241999993</v>
      </c>
      <c r="E62" s="84">
        <f t="shared" si="6"/>
        <v>1390879.7451200001</v>
      </c>
      <c r="F62" s="84">
        <f>F94*0.21</f>
        <v>367083.64551599999</v>
      </c>
      <c r="G62" s="84">
        <f>G94*0.18</f>
        <v>124172.11436400007</v>
      </c>
    </row>
    <row r="63" spans="1:7" x14ac:dyDescent="0.25">
      <c r="A63" s="68"/>
      <c r="B63" s="84"/>
      <c r="C63" s="84"/>
      <c r="D63" s="84"/>
      <c r="E63" s="84"/>
      <c r="F63" s="84"/>
      <c r="G63" s="84"/>
    </row>
    <row r="64" spans="1:7" s="29" customFormat="1" x14ac:dyDescent="0.25">
      <c r="A64" s="69" t="s">
        <v>36</v>
      </c>
      <c r="B64" s="85">
        <v>452281.4</v>
      </c>
      <c r="C64" s="72">
        <v>633175.63</v>
      </c>
      <c r="D64" s="85">
        <v>1348834.99</v>
      </c>
      <c r="E64" s="85">
        <v>1111324.58</v>
      </c>
      <c r="F64" s="85">
        <v>1865219.59</v>
      </c>
      <c r="G64" s="85">
        <v>701706.11</v>
      </c>
    </row>
    <row r="65" spans="1:7" x14ac:dyDescent="0.25">
      <c r="A65" s="68"/>
      <c r="B65" s="84"/>
      <c r="C65" s="84"/>
      <c r="D65" s="84"/>
      <c r="E65" s="84"/>
      <c r="F65" s="84"/>
      <c r="G65" s="84"/>
    </row>
    <row r="66" spans="1:7" s="29" customFormat="1" x14ac:dyDescent="0.25">
      <c r="A66" s="69" t="s">
        <v>37</v>
      </c>
      <c r="B66" s="85">
        <f>42051.82+452281.4-118897.39</f>
        <v>375435.83</v>
      </c>
      <c r="C66" s="85">
        <v>687320.26</v>
      </c>
      <c r="D66" s="85">
        <f>256424.41+1348834.99-337272.16</f>
        <v>1267987.24</v>
      </c>
      <c r="E66" s="85">
        <f>160653.05+1111324.58-305336.78</f>
        <v>966640.85000000009</v>
      </c>
      <c r="F66" s="85">
        <f>178128.47+1865219.59-456596.99</f>
        <v>1586751.07</v>
      </c>
      <c r="G66" s="85">
        <f>390268.61+701706.11-128113.08</f>
        <v>963861.64</v>
      </c>
    </row>
    <row r="67" spans="1:7" x14ac:dyDescent="0.25">
      <c r="A67" s="68"/>
      <c r="B67" s="84"/>
      <c r="C67" s="84"/>
      <c r="D67" s="84"/>
      <c r="E67" s="84"/>
      <c r="F67" s="84"/>
      <c r="G67" s="84"/>
    </row>
    <row r="68" spans="1:7" s="29" customFormat="1" x14ac:dyDescent="0.25">
      <c r="A68" s="69" t="s">
        <v>38</v>
      </c>
      <c r="B68" s="85">
        <f>8237.7+110659.69</f>
        <v>118897.39</v>
      </c>
      <c r="C68" s="85">
        <f>137816.48+633175.63-687320.26</f>
        <v>83671.849999999977</v>
      </c>
      <c r="D68" s="85">
        <f>19298.22+317973.94</f>
        <v>337272.16000000003</v>
      </c>
      <c r="E68" s="85">
        <f>17129.46+288207.32</f>
        <v>305336.78000000003</v>
      </c>
      <c r="F68" s="85">
        <f>22749.01+433847.98</f>
        <v>456596.99</v>
      </c>
      <c r="G68" s="85">
        <f>5619.21+122493.87</f>
        <v>128113.08</v>
      </c>
    </row>
    <row r="69" spans="1:7" x14ac:dyDescent="0.25">
      <c r="A69" s="68"/>
      <c r="B69" s="84"/>
      <c r="C69" s="84"/>
      <c r="D69" s="84"/>
      <c r="E69" s="84"/>
      <c r="F69" s="84"/>
      <c r="G69" s="84"/>
    </row>
    <row r="70" spans="1:7" x14ac:dyDescent="0.25">
      <c r="A70" s="68" t="s">
        <v>39</v>
      </c>
      <c r="B70" s="84"/>
      <c r="C70" s="84"/>
      <c r="D70" s="84"/>
      <c r="E70" s="84"/>
      <c r="F70" s="84"/>
      <c r="G70" s="84"/>
    </row>
    <row r="71" spans="1:7" x14ac:dyDescent="0.25">
      <c r="A71" s="68"/>
      <c r="B71" s="84"/>
      <c r="C71" s="84"/>
      <c r="D71" s="84"/>
      <c r="E71" s="84"/>
      <c r="F71" s="84"/>
      <c r="G71" s="84"/>
    </row>
    <row r="72" spans="1:7" s="9" customFormat="1" x14ac:dyDescent="0.25">
      <c r="A72" s="66" t="s">
        <v>45</v>
      </c>
      <c r="B72" s="82"/>
      <c r="C72" s="82"/>
      <c r="D72" s="82"/>
      <c r="E72" s="82"/>
      <c r="F72" s="82"/>
      <c r="G72" s="82"/>
    </row>
    <row r="73" spans="1:7" s="8" customFormat="1" x14ac:dyDescent="0.25">
      <c r="A73" s="67" t="s">
        <v>68</v>
      </c>
      <c r="B73" s="82">
        <v>321659</v>
      </c>
      <c r="C73" s="82">
        <v>391954.16</v>
      </c>
      <c r="D73" s="82">
        <v>885953.54</v>
      </c>
      <c r="E73" s="82">
        <v>1275116.8</v>
      </c>
      <c r="F73" s="82">
        <v>359508.36</v>
      </c>
      <c r="G73" s="82">
        <v>660363.76</v>
      </c>
    </row>
    <row r="74" spans="1:7" s="8" customFormat="1" x14ac:dyDescent="0.25">
      <c r="A74" s="66"/>
      <c r="B74" s="83"/>
      <c r="C74" s="82"/>
      <c r="D74" s="83"/>
      <c r="E74" s="83"/>
      <c r="F74" s="83"/>
      <c r="G74" s="83"/>
    </row>
    <row r="75" spans="1:7" x14ac:dyDescent="0.25">
      <c r="A75" s="68" t="s">
        <v>65</v>
      </c>
      <c r="B75" s="84">
        <f>B73/29.04</f>
        <v>11076.411845730028</v>
      </c>
      <c r="C75" s="84">
        <f t="shared" ref="C75:G75" si="7">C73/29.04</f>
        <v>13497.044077134986</v>
      </c>
      <c r="D75" s="84">
        <f t="shared" si="7"/>
        <v>30508.042011019286</v>
      </c>
      <c r="E75" s="84">
        <f t="shared" si="7"/>
        <v>43908.980716253449</v>
      </c>
      <c r="F75" s="84">
        <f t="shared" si="7"/>
        <v>12379.764462809917</v>
      </c>
      <c r="G75" s="84">
        <f t="shared" si="7"/>
        <v>22739.798898071625</v>
      </c>
    </row>
    <row r="76" spans="1:7" x14ac:dyDescent="0.25">
      <c r="A76" s="68"/>
      <c r="B76" s="84"/>
      <c r="C76" s="84"/>
      <c r="D76" s="84"/>
      <c r="E76" s="84"/>
      <c r="F76" s="84"/>
      <c r="G76" s="84"/>
    </row>
    <row r="77" spans="1:7" x14ac:dyDescent="0.25">
      <c r="A77" s="68" t="s">
        <v>34</v>
      </c>
      <c r="B77" s="84">
        <f>B93*0.14</f>
        <v>325220.86324000004</v>
      </c>
      <c r="C77" s="84">
        <f>C93*0.16</f>
        <v>361241.36839999998</v>
      </c>
      <c r="D77" s="84">
        <f>D93*0.15</f>
        <v>944660.726685</v>
      </c>
      <c r="E77" s="84">
        <f>E93*0.15</f>
        <v>1112564.4441600002</v>
      </c>
      <c r="F77" s="84">
        <f>F93*0.15</f>
        <v>357436.48806</v>
      </c>
      <c r="G77" s="84">
        <f>G93*0.13</f>
        <v>613570.1156260001</v>
      </c>
    </row>
    <row r="78" spans="1:7" x14ac:dyDescent="0.25">
      <c r="A78" s="68"/>
      <c r="B78" s="84"/>
      <c r="C78" s="84"/>
      <c r="D78" s="84"/>
      <c r="E78" s="84"/>
      <c r="F78" s="84"/>
      <c r="G78" s="84"/>
    </row>
    <row r="79" spans="1:7" x14ac:dyDescent="0.25">
      <c r="A79" s="68" t="s">
        <v>35</v>
      </c>
      <c r="B79" s="84">
        <f>B94*0.14</f>
        <v>137037.00976000002</v>
      </c>
      <c r="C79" s="84">
        <f>C94*0.16</f>
        <v>75933.318000000043</v>
      </c>
      <c r="D79" s="84">
        <f>D94*0.15</f>
        <v>470873.44681499997</v>
      </c>
      <c r="E79" s="84">
        <f>E94*0.15</f>
        <v>1043159.8088400001</v>
      </c>
      <c r="F79" s="84">
        <f>F94*0.15</f>
        <v>262202.60394</v>
      </c>
      <c r="G79" s="84">
        <f>G94*0.13</f>
        <v>89679.860374000054</v>
      </c>
    </row>
    <row r="80" spans="1:7" x14ac:dyDescent="0.25">
      <c r="A80" s="68"/>
      <c r="B80" s="84"/>
      <c r="C80" s="84"/>
      <c r="D80" s="84"/>
      <c r="E80" s="84"/>
      <c r="F80" s="84"/>
      <c r="G80" s="84"/>
    </row>
    <row r="81" spans="1:8" s="29" customFormat="1" x14ac:dyDescent="0.25">
      <c r="A81" s="69" t="s">
        <v>36</v>
      </c>
      <c r="B81" s="72">
        <v>311329.84999999998</v>
      </c>
      <c r="C81" s="72">
        <v>442402.1</v>
      </c>
      <c r="D81" s="72">
        <v>1023959.13</v>
      </c>
      <c r="E81" s="85">
        <v>626703.14</v>
      </c>
      <c r="F81" s="85">
        <v>1320151.1399999999</v>
      </c>
      <c r="G81" s="72">
        <v>349524.55</v>
      </c>
    </row>
    <row r="82" spans="1:8" x14ac:dyDescent="0.25">
      <c r="A82" s="68"/>
      <c r="B82" s="84"/>
      <c r="C82" s="84"/>
      <c r="D82" s="84"/>
      <c r="E82" s="84"/>
      <c r="F82" s="84"/>
      <c r="G82" s="84"/>
    </row>
    <row r="83" spans="1:8" s="29" customFormat="1" x14ac:dyDescent="0.25">
      <c r="A83" s="69" t="s">
        <v>37</v>
      </c>
      <c r="B83" s="72">
        <v>284753.15999999997</v>
      </c>
      <c r="C83" s="85">
        <v>0</v>
      </c>
      <c r="D83" s="72">
        <v>1013588.76</v>
      </c>
      <c r="E83" s="85">
        <v>723936.37</v>
      </c>
      <c r="F83" s="85">
        <v>1304676.58</v>
      </c>
      <c r="G83" s="72">
        <v>717108.87</v>
      </c>
    </row>
    <row r="84" spans="1:8" x14ac:dyDescent="0.25">
      <c r="A84" s="68"/>
      <c r="B84" s="84"/>
      <c r="C84" s="84"/>
      <c r="D84" s="84"/>
      <c r="E84" s="84"/>
      <c r="F84" s="84"/>
      <c r="G84" s="84"/>
    </row>
    <row r="85" spans="1:8" s="29" customFormat="1" x14ac:dyDescent="0.25">
      <c r="A85" s="69" t="s">
        <v>38</v>
      </c>
      <c r="B85" s="85">
        <v>26576.69</v>
      </c>
      <c r="C85" s="85">
        <f>74813.41+442402.1</f>
        <v>517215.51</v>
      </c>
      <c r="D85" s="85">
        <v>10370.370000000001</v>
      </c>
      <c r="E85" s="85">
        <v>0</v>
      </c>
      <c r="F85" s="85">
        <v>15474.56</v>
      </c>
      <c r="G85" s="72">
        <v>0</v>
      </c>
    </row>
    <row r="86" spans="1:8" x14ac:dyDescent="0.25">
      <c r="A86" s="68"/>
      <c r="B86" s="84"/>
      <c r="C86" s="84"/>
      <c r="D86" s="84"/>
      <c r="E86" s="84"/>
      <c r="F86" s="84"/>
      <c r="G86" s="84"/>
    </row>
    <row r="87" spans="1:8" x14ac:dyDescent="0.25">
      <c r="A87" s="68" t="s">
        <v>39</v>
      </c>
      <c r="B87" s="84"/>
      <c r="C87" s="84"/>
      <c r="D87" s="84"/>
      <c r="E87" s="84"/>
      <c r="F87" s="84"/>
      <c r="G87" s="84"/>
    </row>
    <row r="88" spans="1:8" x14ac:dyDescent="0.25">
      <c r="A88" s="70"/>
      <c r="B88" s="84"/>
      <c r="C88" s="84"/>
      <c r="D88" s="84"/>
      <c r="E88" s="84"/>
      <c r="F88" s="84"/>
      <c r="G88" s="84"/>
    </row>
    <row r="89" spans="1:8" x14ac:dyDescent="0.25">
      <c r="A89" s="95"/>
      <c r="B89" s="90"/>
      <c r="C89" s="96"/>
      <c r="D89" s="90"/>
      <c r="E89" s="90"/>
      <c r="F89" s="90"/>
      <c r="G89" s="90"/>
    </row>
    <row r="90" spans="1:8" x14ac:dyDescent="0.25">
      <c r="A90" s="70"/>
      <c r="B90" s="90"/>
      <c r="C90" s="90"/>
      <c r="D90" s="90"/>
      <c r="E90" s="90"/>
      <c r="F90" s="90"/>
      <c r="G90" s="90"/>
    </row>
    <row r="91" spans="1:8" x14ac:dyDescent="0.25">
      <c r="A91" s="70"/>
      <c r="B91" s="90"/>
      <c r="C91" s="90"/>
      <c r="D91" s="90"/>
      <c r="E91" s="90"/>
      <c r="F91" s="90"/>
      <c r="G91" s="90"/>
    </row>
    <row r="92" spans="1:8" x14ac:dyDescent="0.25">
      <c r="A92" s="67" t="s">
        <v>68</v>
      </c>
      <c r="B92" s="92">
        <f>B22+B39+B56+B73</f>
        <v>2305109.0299999998</v>
      </c>
      <c r="C92" s="92">
        <f t="shared" ref="C92:G92" si="8">C22+C39+C56+C73</f>
        <v>2433865.91</v>
      </c>
      <c r="D92" s="92">
        <f t="shared" si="8"/>
        <v>6263846.3700000001</v>
      </c>
      <c r="E92" s="92">
        <f t="shared" si="8"/>
        <v>8679347.6099999994</v>
      </c>
      <c r="F92" s="92">
        <f t="shared" si="8"/>
        <v>2423134.19</v>
      </c>
      <c r="G92" s="92">
        <f t="shared" si="8"/>
        <v>4975060.84</v>
      </c>
      <c r="H92" s="18"/>
    </row>
    <row r="93" spans="1:8" x14ac:dyDescent="0.25">
      <c r="A93" s="68" t="s">
        <v>34</v>
      </c>
      <c r="B93" s="92">
        <f>'Данные по МКД-1'!C38-'Данные по МКД-1'!C31</f>
        <v>2323006.1660000002</v>
      </c>
      <c r="C93" s="92">
        <f>'Данные по МКД-1'!D38-'Данные по МКД-1'!D31</f>
        <v>2257758.5524999998</v>
      </c>
      <c r="D93" s="92">
        <f>'Данные по МКД-1'!E38-'Данные по МКД-1'!E31</f>
        <v>6297738.1779000005</v>
      </c>
      <c r="E93" s="92">
        <f>'Данные по МКД-1'!F38-'Данные по МКД-1'!F31</f>
        <v>7417096.2944000009</v>
      </c>
      <c r="F93" s="92">
        <f>'Данные по МКД-1'!G38-'Данные по МКД-1'!G31</f>
        <v>2382909.9204000002</v>
      </c>
      <c r="G93" s="92">
        <f>'Данные по МКД-1'!H38-'Данные по МКД-1'!H31</f>
        <v>4719770.1202000007</v>
      </c>
      <c r="H93" s="18"/>
    </row>
    <row r="94" spans="1:8" x14ac:dyDescent="0.25">
      <c r="A94" s="68" t="s">
        <v>35</v>
      </c>
      <c r="B94" s="92">
        <f>'Данные по МКД-3'!C8-'Данные по МКД-3'!C6</f>
        <v>978835.78399999999</v>
      </c>
      <c r="C94" s="92">
        <f>'Данные по МКД-3'!D8-'Данные по МКД-3'!D6</f>
        <v>474583.23750000028</v>
      </c>
      <c r="D94" s="92">
        <f>'Данные по МКД-3'!E8-'Данные по МКД-3'!E6</f>
        <v>3139156.3120999997</v>
      </c>
      <c r="E94" s="92">
        <f>'Данные по МКД-3'!F8-'Данные по МКД-3'!F6</f>
        <v>6954398.7256000005</v>
      </c>
      <c r="F94" s="92">
        <f>'Данные по МКД-3'!G8-'Данные по МКД-3'!G6</f>
        <v>1748017.3596000001</v>
      </c>
      <c r="G94" s="92">
        <f>'Данные по МКД-3'!H8-'Данные по МКД-3'!H6</f>
        <v>689845.07980000041</v>
      </c>
    </row>
    <row r="95" spans="1:8" x14ac:dyDescent="0.25">
      <c r="G95" s="97"/>
    </row>
    <row r="96" spans="1:8" x14ac:dyDescent="0.25">
      <c r="B96" s="18"/>
      <c r="C96" s="18"/>
      <c r="D96" s="18"/>
      <c r="E96" s="18"/>
      <c r="F96" s="18"/>
      <c r="G96" s="98"/>
      <c r="H96" s="18"/>
    </row>
    <row r="97" spans="2:8" x14ac:dyDescent="0.25">
      <c r="B97" s="18"/>
      <c r="C97" s="18"/>
      <c r="D97" s="18"/>
      <c r="E97" s="18"/>
      <c r="F97" s="18"/>
      <c r="G97" s="98"/>
      <c r="H97" s="18"/>
    </row>
    <row r="98" spans="2:8" x14ac:dyDescent="0.25">
      <c r="G98" s="97"/>
    </row>
    <row r="99" spans="2:8" x14ac:dyDescent="0.25">
      <c r="G99" s="97"/>
    </row>
    <row r="100" spans="2:8" x14ac:dyDescent="0.25">
      <c r="G100" s="97"/>
    </row>
    <row r="101" spans="2:8" x14ac:dyDescent="0.25">
      <c r="G101" s="97"/>
    </row>
    <row r="102" spans="2:8" x14ac:dyDescent="0.25">
      <c r="G102" s="97"/>
    </row>
    <row r="103" spans="2:8" x14ac:dyDescent="0.25">
      <c r="G103" s="97"/>
    </row>
    <row r="104" spans="2:8" x14ac:dyDescent="0.25">
      <c r="G104" s="97"/>
    </row>
    <row r="105" spans="2:8" x14ac:dyDescent="0.25">
      <c r="G105" s="97"/>
    </row>
    <row r="106" spans="2:8" x14ac:dyDescent="0.25">
      <c r="G106" s="97"/>
    </row>
    <row r="107" spans="2:8" x14ac:dyDescent="0.25">
      <c r="G107" s="97"/>
    </row>
    <row r="108" spans="2:8" x14ac:dyDescent="0.25">
      <c r="G108" s="97"/>
    </row>
    <row r="109" spans="2:8" x14ac:dyDescent="0.25">
      <c r="G109" s="97"/>
    </row>
    <row r="110" spans="2:8" x14ac:dyDescent="0.25">
      <c r="G110" s="97"/>
    </row>
    <row r="111" spans="2:8" x14ac:dyDescent="0.25">
      <c r="G111" s="97"/>
    </row>
    <row r="112" spans="2:8" x14ac:dyDescent="0.25">
      <c r="G112" s="97"/>
    </row>
    <row r="113" spans="7:7" x14ac:dyDescent="0.25">
      <c r="G113" s="97"/>
    </row>
    <row r="114" spans="7:7" x14ac:dyDescent="0.25">
      <c r="G114" s="97"/>
    </row>
    <row r="115" spans="7:7" x14ac:dyDescent="0.25">
      <c r="G115" s="97"/>
    </row>
    <row r="116" spans="7:7" x14ac:dyDescent="0.25">
      <c r="G116" s="97"/>
    </row>
    <row r="117" spans="7:7" x14ac:dyDescent="0.25">
      <c r="G117" s="97"/>
    </row>
    <row r="118" spans="7:7" x14ac:dyDescent="0.25">
      <c r="G118" s="97"/>
    </row>
    <row r="119" spans="7:7" x14ac:dyDescent="0.25">
      <c r="G119" s="97"/>
    </row>
    <row r="120" spans="7:7" x14ac:dyDescent="0.25">
      <c r="G120" s="97"/>
    </row>
    <row r="121" spans="7:7" x14ac:dyDescent="0.25">
      <c r="G121" s="97"/>
    </row>
    <row r="122" spans="7:7" x14ac:dyDescent="0.25">
      <c r="G122" s="97"/>
    </row>
    <row r="123" spans="7:7" x14ac:dyDescent="0.25">
      <c r="G123" s="97"/>
    </row>
    <row r="124" spans="7:7" x14ac:dyDescent="0.25">
      <c r="G124" s="97"/>
    </row>
    <row r="125" spans="7:7" x14ac:dyDescent="0.25">
      <c r="G125" s="97"/>
    </row>
    <row r="126" spans="7:7" x14ac:dyDescent="0.25">
      <c r="G126" s="97"/>
    </row>
    <row r="127" spans="7:7" x14ac:dyDescent="0.25">
      <c r="G127" s="97"/>
    </row>
    <row r="128" spans="7:7" x14ac:dyDescent="0.25">
      <c r="G128" s="97"/>
    </row>
    <row r="129" spans="7:7" x14ac:dyDescent="0.25">
      <c r="G129" s="97"/>
    </row>
    <row r="130" spans="7:7" x14ac:dyDescent="0.25">
      <c r="G130" s="97"/>
    </row>
    <row r="131" spans="7:7" x14ac:dyDescent="0.25">
      <c r="G131" s="97"/>
    </row>
    <row r="132" spans="7:7" x14ac:dyDescent="0.25">
      <c r="G132" s="97"/>
    </row>
    <row r="133" spans="7:7" x14ac:dyDescent="0.25">
      <c r="G133" s="97"/>
    </row>
    <row r="134" spans="7:7" x14ac:dyDescent="0.25">
      <c r="G134" s="97"/>
    </row>
    <row r="135" spans="7:7" x14ac:dyDescent="0.25">
      <c r="G135" s="97"/>
    </row>
    <row r="136" spans="7:7" x14ac:dyDescent="0.25">
      <c r="G136" s="97"/>
    </row>
    <row r="137" spans="7:7" x14ac:dyDescent="0.25">
      <c r="G137" s="97"/>
    </row>
    <row r="138" spans="7:7" x14ac:dyDescent="0.25">
      <c r="G138" s="97"/>
    </row>
    <row r="139" spans="7:7" x14ac:dyDescent="0.25">
      <c r="G139" s="97"/>
    </row>
    <row r="140" spans="7:7" x14ac:dyDescent="0.25">
      <c r="G140" s="97"/>
    </row>
    <row r="141" spans="7:7" x14ac:dyDescent="0.25">
      <c r="G141" s="97"/>
    </row>
    <row r="142" spans="7:7" x14ac:dyDescent="0.25">
      <c r="G142" s="97"/>
    </row>
    <row r="143" spans="7:7" x14ac:dyDescent="0.25">
      <c r="G143" s="97"/>
    </row>
    <row r="144" spans="7:7" x14ac:dyDescent="0.25">
      <c r="G144" s="97"/>
    </row>
    <row r="145" spans="7:7" x14ac:dyDescent="0.25">
      <c r="G145" s="97"/>
    </row>
    <row r="146" spans="7:7" x14ac:dyDescent="0.25">
      <c r="G146" s="97"/>
    </row>
    <row r="147" spans="7:7" x14ac:dyDescent="0.25">
      <c r="G147" s="97"/>
    </row>
    <row r="148" spans="7:7" x14ac:dyDescent="0.25">
      <c r="G148" s="97"/>
    </row>
    <row r="149" spans="7:7" x14ac:dyDescent="0.25">
      <c r="G149" s="97"/>
    </row>
    <row r="150" spans="7:7" x14ac:dyDescent="0.25">
      <c r="G150" s="97"/>
    </row>
    <row r="151" spans="7:7" x14ac:dyDescent="0.25">
      <c r="G151" s="97"/>
    </row>
    <row r="152" spans="7:7" x14ac:dyDescent="0.25">
      <c r="G152" s="97"/>
    </row>
    <row r="153" spans="7:7" x14ac:dyDescent="0.25">
      <c r="G153" s="97"/>
    </row>
    <row r="154" spans="7:7" x14ac:dyDescent="0.25">
      <c r="G154" s="97"/>
    </row>
    <row r="155" spans="7:7" x14ac:dyDescent="0.25">
      <c r="G155" s="97"/>
    </row>
    <row r="156" spans="7:7" x14ac:dyDescent="0.25">
      <c r="G156" s="97"/>
    </row>
    <row r="157" spans="7:7" x14ac:dyDescent="0.25">
      <c r="G157" s="97"/>
    </row>
    <row r="158" spans="7:7" x14ac:dyDescent="0.25">
      <c r="G158" s="97"/>
    </row>
    <row r="159" spans="7:7" x14ac:dyDescent="0.25">
      <c r="G159" s="97"/>
    </row>
    <row r="160" spans="7:7" x14ac:dyDescent="0.25">
      <c r="G160" s="97"/>
    </row>
    <row r="161" spans="7:7" x14ac:dyDescent="0.25">
      <c r="G161" s="97"/>
    </row>
    <row r="162" spans="7:7" x14ac:dyDescent="0.25">
      <c r="G162" s="97"/>
    </row>
    <row r="163" spans="7:7" x14ac:dyDescent="0.25">
      <c r="G163" s="97"/>
    </row>
    <row r="164" spans="7:7" x14ac:dyDescent="0.25">
      <c r="G164" s="97"/>
    </row>
    <row r="165" spans="7:7" x14ac:dyDescent="0.25">
      <c r="G165" s="97"/>
    </row>
    <row r="166" spans="7:7" x14ac:dyDescent="0.25">
      <c r="G166" s="97"/>
    </row>
    <row r="167" spans="7:7" x14ac:dyDescent="0.25">
      <c r="G167" s="97"/>
    </row>
    <row r="168" spans="7:7" x14ac:dyDescent="0.25">
      <c r="G168" s="97"/>
    </row>
    <row r="169" spans="7:7" x14ac:dyDescent="0.25">
      <c r="G169" s="97"/>
    </row>
    <row r="170" spans="7:7" x14ac:dyDescent="0.25">
      <c r="G170" s="97"/>
    </row>
    <row r="171" spans="7:7" x14ac:dyDescent="0.25">
      <c r="G171" s="97"/>
    </row>
    <row r="172" spans="7:7" x14ac:dyDescent="0.25">
      <c r="G172" s="97"/>
    </row>
    <row r="173" spans="7:7" x14ac:dyDescent="0.25">
      <c r="G173" s="97"/>
    </row>
    <row r="174" spans="7:7" x14ac:dyDescent="0.25">
      <c r="G174" s="9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:H1048576"/>
    </sheetView>
  </sheetViews>
  <sheetFormatPr defaultRowHeight="15" x14ac:dyDescent="0.25"/>
  <cols>
    <col min="1" max="1" width="83.42578125" customWidth="1"/>
    <col min="2" max="2" width="11.5703125" customWidth="1"/>
    <col min="3" max="3" width="11.42578125" bestFit="1" customWidth="1"/>
    <col min="4" max="4" width="14.5703125" customWidth="1"/>
    <col min="5" max="5" width="12.42578125" customWidth="1"/>
    <col min="6" max="6" width="11.5703125" customWidth="1"/>
    <col min="7" max="7" width="15" customWidth="1"/>
    <col min="8" max="8" width="13" style="51" customWidth="1"/>
  </cols>
  <sheetData>
    <row r="1" spans="1:8" ht="15.75" thickBot="1" x14ac:dyDescent="0.3">
      <c r="A1" s="44" t="s">
        <v>62</v>
      </c>
      <c r="B1" s="11"/>
    </row>
    <row r="2" spans="1:8" ht="64.5" customHeight="1" thickBot="1" x14ac:dyDescent="0.3">
      <c r="A2" s="46" t="s">
        <v>51</v>
      </c>
      <c r="B2" s="76" t="s">
        <v>75</v>
      </c>
      <c r="C2" s="76" t="s">
        <v>76</v>
      </c>
      <c r="D2" s="76" t="s">
        <v>77</v>
      </c>
      <c r="E2" s="76" t="s">
        <v>79</v>
      </c>
      <c r="F2" s="76" t="s">
        <v>80</v>
      </c>
      <c r="G2" s="77" t="s">
        <v>81</v>
      </c>
      <c r="H2" s="63" t="s">
        <v>63</v>
      </c>
    </row>
    <row r="3" spans="1:8" x14ac:dyDescent="0.25">
      <c r="A3" s="45" t="s">
        <v>18</v>
      </c>
      <c r="B3" s="14">
        <f>156121.62+31882.59</f>
        <v>188004.21</v>
      </c>
      <c r="C3" s="14">
        <f>155677.02+3775.46</f>
        <v>159452.47999999998</v>
      </c>
      <c r="D3" s="14">
        <f>404085.84+265474.4</f>
        <v>669560.24</v>
      </c>
      <c r="E3" s="14">
        <f>308.4+360+238011.42+277833.24+132677.15</f>
        <v>649190.21</v>
      </c>
      <c r="F3" s="25">
        <f>139319.03+23111.73</f>
        <v>162430.76</v>
      </c>
      <c r="G3" s="14">
        <f>448437.8+184037.22</f>
        <v>632475.02</v>
      </c>
      <c r="H3" s="75">
        <f>SUM(B3:G3)</f>
        <v>2461112.92</v>
      </c>
    </row>
    <row r="4" spans="1:8" ht="28.5" x14ac:dyDescent="0.25">
      <c r="A4" s="45" t="s">
        <v>27</v>
      </c>
      <c r="B4" s="13">
        <f>682693.94+208454.99+107440.24</f>
        <v>998589.16999999993</v>
      </c>
      <c r="C4" s="14">
        <f>680748.78+144799.79+22721.28+49658.58+201885.99</f>
        <v>1099814.42</v>
      </c>
      <c r="D4" s="13">
        <f>1766999.99+261806.35+365673.05</f>
        <v>2394479.39</v>
      </c>
      <c r="E4" s="13">
        <f>1102072.02+768674.42+384953.66+1428+996+498.8+300.67+232052.97+364831.5</f>
        <v>2855808.04</v>
      </c>
      <c r="F4" s="26">
        <f>609217.97+77128.47+147398.56</f>
        <v>833745</v>
      </c>
      <c r="G4" s="13">
        <f>1969958.16+233373.56+120067.27</f>
        <v>2323398.9899999998</v>
      </c>
      <c r="H4" s="75">
        <f t="shared" ref="H4:H20" si="0">SUM(B4:G4)</f>
        <v>10505835.01</v>
      </c>
    </row>
    <row r="5" spans="1:8" x14ac:dyDescent="0.25">
      <c r="A5" s="45" t="s">
        <v>17</v>
      </c>
      <c r="B5" s="13"/>
      <c r="C5" s="13"/>
      <c r="D5" s="13"/>
      <c r="E5" s="13"/>
      <c r="F5" s="26"/>
      <c r="G5" s="13"/>
      <c r="H5" s="75">
        <f t="shared" si="0"/>
        <v>0</v>
      </c>
    </row>
    <row r="6" spans="1:8" ht="28.5" x14ac:dyDescent="0.25">
      <c r="A6" s="45" t="s">
        <v>20</v>
      </c>
      <c r="B6" s="13"/>
      <c r="C6" s="13"/>
      <c r="D6" s="13"/>
      <c r="E6" s="13"/>
      <c r="F6" s="26"/>
      <c r="G6" s="13"/>
      <c r="H6" s="75">
        <f t="shared" si="0"/>
        <v>0</v>
      </c>
    </row>
    <row r="7" spans="1:8" ht="28.5" x14ac:dyDescent="0.25">
      <c r="A7" s="45" t="s">
        <v>21</v>
      </c>
      <c r="B7" s="13"/>
      <c r="C7" s="13"/>
      <c r="D7" s="13"/>
      <c r="E7" s="13"/>
      <c r="F7" s="26"/>
      <c r="G7" s="13"/>
      <c r="H7" s="75">
        <f t="shared" si="0"/>
        <v>0</v>
      </c>
    </row>
    <row r="8" spans="1:8" ht="28.5" x14ac:dyDescent="0.25">
      <c r="A8" s="45" t="s">
        <v>26</v>
      </c>
      <c r="B8" s="13"/>
      <c r="C8" s="13"/>
      <c r="D8" s="13"/>
      <c r="E8" s="13"/>
      <c r="F8" s="26"/>
      <c r="G8" s="13"/>
      <c r="H8" s="75">
        <f t="shared" si="0"/>
        <v>0</v>
      </c>
    </row>
    <row r="9" spans="1:8" ht="42.75" x14ac:dyDescent="0.25">
      <c r="A9" s="45" t="s">
        <v>25</v>
      </c>
      <c r="B9" s="13"/>
      <c r="C9" s="13"/>
      <c r="D9" s="13"/>
      <c r="E9" s="13"/>
      <c r="F9" s="26"/>
      <c r="G9" s="13"/>
      <c r="H9" s="75">
        <f t="shared" si="0"/>
        <v>0</v>
      </c>
    </row>
    <row r="10" spans="1:8" x14ac:dyDescent="0.25">
      <c r="A10" s="45" t="s">
        <v>16</v>
      </c>
      <c r="B10" s="13">
        <f>84368.16</f>
        <v>84368.16</v>
      </c>
      <c r="C10" s="13">
        <v>84127.26</v>
      </c>
      <c r="D10" s="13">
        <v>218366.9</v>
      </c>
      <c r="E10" s="13">
        <f>170.4+190.8+131508.12+147252.78</f>
        <v>279122.09999999998</v>
      </c>
      <c r="F10" s="27">
        <v>75286.67</v>
      </c>
      <c r="G10" s="13"/>
      <c r="H10" s="75">
        <f t="shared" si="0"/>
        <v>741271.09</v>
      </c>
    </row>
    <row r="11" spans="1:8" x14ac:dyDescent="0.25">
      <c r="A11" s="45" t="s">
        <v>15</v>
      </c>
      <c r="B11" s="13">
        <f>121460.76</f>
        <v>121460.76</v>
      </c>
      <c r="C11" s="13">
        <v>121493.64</v>
      </c>
      <c r="D11" s="13">
        <v>262505.25</v>
      </c>
      <c r="E11" s="13">
        <v>420217.14</v>
      </c>
      <c r="F11" s="27">
        <v>105176.85</v>
      </c>
      <c r="G11" s="13">
        <v>239709.68</v>
      </c>
      <c r="H11" s="75">
        <f t="shared" si="0"/>
        <v>1270563.32</v>
      </c>
    </row>
    <row r="12" spans="1:8" x14ac:dyDescent="0.25">
      <c r="A12" s="45" t="s">
        <v>24</v>
      </c>
      <c r="B12" s="13">
        <v>24665.759999999998</v>
      </c>
      <c r="C12" s="13">
        <v>23492.400000000001</v>
      </c>
      <c r="D12" s="13"/>
      <c r="E12" s="13"/>
      <c r="F12" s="26"/>
      <c r="G12" s="13"/>
      <c r="H12" s="75">
        <f t="shared" si="0"/>
        <v>48158.16</v>
      </c>
    </row>
    <row r="13" spans="1:8" x14ac:dyDescent="0.25">
      <c r="A13" s="45" t="s">
        <v>23</v>
      </c>
      <c r="B13" s="13"/>
      <c r="C13" s="13"/>
      <c r="D13" s="13"/>
      <c r="E13" s="13"/>
      <c r="F13" s="26"/>
      <c r="G13" s="13"/>
      <c r="H13" s="75">
        <f t="shared" si="0"/>
        <v>0</v>
      </c>
    </row>
    <row r="14" spans="1:8" ht="28.5" x14ac:dyDescent="0.25">
      <c r="A14" s="45" t="s">
        <v>22</v>
      </c>
      <c r="B14" s="13">
        <f>38118.48</f>
        <v>38118.480000000003</v>
      </c>
      <c r="C14" s="13">
        <v>38010.720000000001</v>
      </c>
      <c r="D14" s="13">
        <v>98662.99</v>
      </c>
      <c r="E14" s="13">
        <f>163.2+125950.05</f>
        <v>126113.25</v>
      </c>
      <c r="F14" s="26">
        <f>168.79+33848.31</f>
        <v>34017.1</v>
      </c>
      <c r="G14" s="13"/>
      <c r="H14" s="75">
        <f t="shared" si="0"/>
        <v>334922.53999999998</v>
      </c>
    </row>
    <row r="15" spans="1:8" ht="42.75" x14ac:dyDescent="0.25">
      <c r="A15" s="45" t="s">
        <v>19</v>
      </c>
      <c r="B15" s="13">
        <f>103987.38</f>
        <v>103987.38</v>
      </c>
      <c r="C15" s="13">
        <v>103691.7</v>
      </c>
      <c r="D15" s="13">
        <v>269149.05</v>
      </c>
      <c r="E15" s="13">
        <f>169479.06+219.6+225.6+174108.54</f>
        <v>344032.80000000005</v>
      </c>
      <c r="F15" s="26">
        <v>92795.8</v>
      </c>
      <c r="G15" s="13">
        <v>299429.5</v>
      </c>
      <c r="H15" s="75">
        <f t="shared" si="0"/>
        <v>1213086.23</v>
      </c>
    </row>
    <row r="16" spans="1:8" x14ac:dyDescent="0.25">
      <c r="A16" s="45" t="s">
        <v>69</v>
      </c>
      <c r="B16" s="13">
        <v>348120.12</v>
      </c>
      <c r="C16" s="13">
        <v>347128.56</v>
      </c>
      <c r="D16" s="13">
        <v>901032.5</v>
      </c>
      <c r="E16" s="13">
        <f>1150230.78+1490.4</f>
        <v>1151721.18</v>
      </c>
      <c r="F16" s="26">
        <v>310654.25</v>
      </c>
      <c r="G16" s="13">
        <v>1007159.9</v>
      </c>
      <c r="H16" s="75">
        <f t="shared" si="0"/>
        <v>4065816.51</v>
      </c>
    </row>
    <row r="17" spans="1:9" x14ac:dyDescent="0.25">
      <c r="A17" s="45" t="s">
        <v>70</v>
      </c>
      <c r="B17" s="13">
        <f>36998.04</f>
        <v>36998.04</v>
      </c>
      <c r="C17" s="13">
        <v>36892.559999999998</v>
      </c>
      <c r="D17" s="13">
        <v>95761.86</v>
      </c>
      <c r="E17" s="13">
        <f>158.4+122247.21</f>
        <v>122405.61</v>
      </c>
      <c r="F17" s="26">
        <f>32852.83+163.84</f>
        <v>33016.67</v>
      </c>
      <c r="G17" s="13">
        <f>82338.53</f>
        <v>82338.53</v>
      </c>
      <c r="H17" s="75">
        <f t="shared" si="0"/>
        <v>407413.27</v>
      </c>
    </row>
    <row r="18" spans="1:9" x14ac:dyDescent="0.25">
      <c r="A18" s="45" t="s">
        <v>71</v>
      </c>
      <c r="B18" s="13">
        <f>74175</f>
        <v>74175</v>
      </c>
      <c r="C18" s="13"/>
      <c r="D18" s="13">
        <v>238200</v>
      </c>
      <c r="E18" s="13">
        <f>181155</f>
        <v>181155</v>
      </c>
      <c r="F18" s="26">
        <v>35034.86</v>
      </c>
      <c r="G18" s="13"/>
      <c r="H18" s="75">
        <f t="shared" si="0"/>
        <v>528564.86</v>
      </c>
    </row>
    <row r="19" spans="1:9" s="49" customFormat="1" x14ac:dyDescent="0.25">
      <c r="A19" s="45" t="s">
        <v>83</v>
      </c>
      <c r="B19" s="73"/>
      <c r="C19" s="73">
        <v>144.84</v>
      </c>
      <c r="D19" s="73"/>
      <c r="E19" s="73"/>
      <c r="F19" s="74"/>
      <c r="G19" s="73">
        <v>42557.760000000002</v>
      </c>
      <c r="H19" s="75">
        <f t="shared" si="0"/>
        <v>42702.6</v>
      </c>
    </row>
    <row r="20" spans="1:9" x14ac:dyDescent="0.25">
      <c r="A20" s="45" t="s">
        <v>72</v>
      </c>
      <c r="B20" s="13">
        <v>80008</v>
      </c>
      <c r="C20" s="13"/>
      <c r="D20" s="13">
        <v>211730</v>
      </c>
      <c r="E20" s="13">
        <f>228248</f>
        <v>228248</v>
      </c>
      <c r="F20" s="26">
        <v>63934.86</v>
      </c>
      <c r="G20" s="100"/>
      <c r="H20" s="75">
        <f t="shared" si="0"/>
        <v>583920.86</v>
      </c>
    </row>
    <row r="21" spans="1:9" x14ac:dyDescent="0.25">
      <c r="B21" s="99"/>
      <c r="C21" s="99"/>
      <c r="D21" s="99"/>
      <c r="E21" s="99"/>
      <c r="F21" s="99"/>
      <c r="G21" s="99"/>
      <c r="H21" s="99"/>
      <c r="I21" s="18"/>
    </row>
    <row r="22" spans="1:9" x14ac:dyDescent="0.25">
      <c r="B22" s="18"/>
      <c r="C22" s="18"/>
      <c r="D22" s="18"/>
      <c r="E22" s="18"/>
      <c r="F22" s="18"/>
      <c r="G22" s="18"/>
      <c r="H22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21" sqref="L21"/>
    </sheetView>
  </sheetViews>
  <sheetFormatPr defaultRowHeight="15" x14ac:dyDescent="0.25"/>
  <cols>
    <col min="1" max="1" width="5.5703125" customWidth="1"/>
    <col min="2" max="2" width="67.140625" customWidth="1"/>
    <col min="3" max="9" width="13.5703125" customWidth="1"/>
  </cols>
  <sheetData>
    <row r="1" spans="1:10" x14ac:dyDescent="0.25">
      <c r="A1" s="49"/>
      <c r="B1" s="50" t="s">
        <v>62</v>
      </c>
      <c r="C1" s="49"/>
      <c r="D1" s="49"/>
      <c r="E1" s="49"/>
      <c r="F1" s="49"/>
      <c r="G1" s="49"/>
      <c r="H1" s="49"/>
      <c r="I1" s="49"/>
      <c r="J1" s="49"/>
    </row>
    <row r="2" spans="1:10" ht="15.75" thickBot="1" x14ac:dyDescent="0.3">
      <c r="A2" s="49"/>
      <c r="B2" s="51" t="s">
        <v>28</v>
      </c>
      <c r="C2" s="49"/>
      <c r="D2" s="49"/>
      <c r="E2" s="49"/>
      <c r="F2" s="49"/>
      <c r="G2" s="49"/>
      <c r="H2" s="49"/>
      <c r="I2" s="49"/>
      <c r="J2" s="58"/>
    </row>
    <row r="3" spans="1:10" ht="34.5" customHeight="1" thickBot="1" x14ac:dyDescent="0.3">
      <c r="A3" s="60"/>
      <c r="B3" s="52" t="s">
        <v>14</v>
      </c>
      <c r="C3" s="61" t="s">
        <v>75</v>
      </c>
      <c r="D3" s="61" t="s">
        <v>76</v>
      </c>
      <c r="E3" s="61" t="s">
        <v>77</v>
      </c>
      <c r="F3" s="61" t="s">
        <v>79</v>
      </c>
      <c r="G3" s="61" t="s">
        <v>80</v>
      </c>
      <c r="H3" s="61" t="s">
        <v>81</v>
      </c>
      <c r="I3" s="103" t="s">
        <v>63</v>
      </c>
      <c r="J3" s="62"/>
    </row>
    <row r="4" spans="1:10" x14ac:dyDescent="0.25">
      <c r="A4" s="53">
        <v>1</v>
      </c>
      <c r="B4" s="54" t="s">
        <v>18</v>
      </c>
      <c r="C4" s="55">
        <f>'Данные по МКД-6'!B3</f>
        <v>188004.21</v>
      </c>
      <c r="D4" s="55">
        <f>'Данные по МКД-6'!C3</f>
        <v>159452.47999999998</v>
      </c>
      <c r="E4" s="55">
        <f>'Данные по МКД-6'!D3</f>
        <v>669560.24</v>
      </c>
      <c r="F4" s="55">
        <f>'Данные по МКД-6'!E3</f>
        <v>649190.21</v>
      </c>
      <c r="G4" s="55">
        <f>'Данные по МКД-6'!F3</f>
        <v>162430.76</v>
      </c>
      <c r="H4" s="55">
        <f>'Данные по МКД-6'!G3</f>
        <v>632475.02</v>
      </c>
      <c r="I4" s="104">
        <f>SUM(C4:H4)</f>
        <v>2461112.92</v>
      </c>
      <c r="J4" s="58"/>
    </row>
    <row r="5" spans="1:10" ht="28.5" x14ac:dyDescent="0.25">
      <c r="A5" s="53">
        <v>2</v>
      </c>
      <c r="B5" s="54" t="s">
        <v>27</v>
      </c>
      <c r="C5" s="55">
        <f>'Данные по МКД-6'!B4</f>
        <v>998589.16999999993</v>
      </c>
      <c r="D5" s="55">
        <f>'Данные по МКД-6'!C4</f>
        <v>1099814.42</v>
      </c>
      <c r="E5" s="55">
        <f>'Данные по МКД-6'!D4</f>
        <v>2394479.39</v>
      </c>
      <c r="F5" s="55">
        <f>'Данные по МКД-6'!E4</f>
        <v>2855808.04</v>
      </c>
      <c r="G5" s="55">
        <f>'Данные по МКД-6'!F4</f>
        <v>833745</v>
      </c>
      <c r="H5" s="55">
        <f>'Данные по МКД-6'!G4</f>
        <v>2323398.9899999998</v>
      </c>
      <c r="I5" s="104">
        <f t="shared" ref="I5:I21" si="0">SUM(C5:H5)</f>
        <v>10505835.01</v>
      </c>
      <c r="J5" s="58"/>
    </row>
    <row r="6" spans="1:10" x14ac:dyDescent="0.25">
      <c r="A6" s="53">
        <v>3</v>
      </c>
      <c r="B6" s="54" t="s">
        <v>17</v>
      </c>
      <c r="C6" s="55">
        <f>'Данные по МКД-6'!B5</f>
        <v>0</v>
      </c>
      <c r="D6" s="55">
        <f>'Данные по МКД-6'!C5</f>
        <v>0</v>
      </c>
      <c r="E6" s="55">
        <f>'Данные по МКД-6'!D5</f>
        <v>0</v>
      </c>
      <c r="F6" s="55">
        <f>'Данные по МКД-6'!E5</f>
        <v>0</v>
      </c>
      <c r="G6" s="55">
        <f>'Данные по МКД-6'!F5</f>
        <v>0</v>
      </c>
      <c r="H6" s="55">
        <f>'Данные по МКД-6'!G5</f>
        <v>0</v>
      </c>
      <c r="I6" s="104">
        <f t="shared" si="0"/>
        <v>0</v>
      </c>
      <c r="J6" s="58"/>
    </row>
    <row r="7" spans="1:10" ht="28.5" x14ac:dyDescent="0.25">
      <c r="A7" s="53">
        <v>4</v>
      </c>
      <c r="B7" s="54" t="s">
        <v>20</v>
      </c>
      <c r="C7" s="55">
        <f>'Данные по МКД-6'!B6</f>
        <v>0</v>
      </c>
      <c r="D7" s="55">
        <f>'Данные по МКД-6'!C6</f>
        <v>0</v>
      </c>
      <c r="E7" s="55">
        <f>'Данные по МКД-6'!D6</f>
        <v>0</v>
      </c>
      <c r="F7" s="55">
        <f>'Данные по МКД-6'!E6</f>
        <v>0</v>
      </c>
      <c r="G7" s="55">
        <f>'Данные по МКД-6'!F6</f>
        <v>0</v>
      </c>
      <c r="H7" s="55">
        <f>'Данные по МКД-6'!G6</f>
        <v>0</v>
      </c>
      <c r="I7" s="104">
        <f t="shared" si="0"/>
        <v>0</v>
      </c>
      <c r="J7" s="58"/>
    </row>
    <row r="8" spans="1:10" ht="28.5" x14ac:dyDescent="0.25">
      <c r="A8" s="53">
        <v>5</v>
      </c>
      <c r="B8" s="54" t="s">
        <v>21</v>
      </c>
      <c r="C8" s="55">
        <f>'Данные по МКД-6'!B7</f>
        <v>0</v>
      </c>
      <c r="D8" s="55">
        <f>'Данные по МКД-6'!C7</f>
        <v>0</v>
      </c>
      <c r="E8" s="55">
        <f>'Данные по МКД-6'!D7</f>
        <v>0</v>
      </c>
      <c r="F8" s="55">
        <f>'Данные по МКД-6'!E7</f>
        <v>0</v>
      </c>
      <c r="G8" s="55">
        <f>'Данные по МКД-6'!F7</f>
        <v>0</v>
      </c>
      <c r="H8" s="55">
        <f>'Данные по МКД-6'!G7</f>
        <v>0</v>
      </c>
      <c r="I8" s="104">
        <f t="shared" si="0"/>
        <v>0</v>
      </c>
      <c r="J8" s="58"/>
    </row>
    <row r="9" spans="1:10" ht="14.45" customHeight="1" x14ac:dyDescent="0.25">
      <c r="A9" s="53">
        <v>6</v>
      </c>
      <c r="B9" s="54" t="s">
        <v>26</v>
      </c>
      <c r="C9" s="55">
        <f>'Данные по МКД-6'!B8</f>
        <v>0</v>
      </c>
      <c r="D9" s="55">
        <f>'Данные по МКД-6'!C8</f>
        <v>0</v>
      </c>
      <c r="E9" s="55">
        <f>'Данные по МКД-6'!D8</f>
        <v>0</v>
      </c>
      <c r="F9" s="55">
        <f>'Данные по МКД-6'!E8</f>
        <v>0</v>
      </c>
      <c r="G9" s="55">
        <f>'Данные по МКД-6'!F8</f>
        <v>0</v>
      </c>
      <c r="H9" s="55">
        <f>'Данные по МКД-6'!G8</f>
        <v>0</v>
      </c>
      <c r="I9" s="104">
        <f t="shared" si="0"/>
        <v>0</v>
      </c>
      <c r="J9" s="58"/>
    </row>
    <row r="10" spans="1:10" ht="14.45" customHeight="1" x14ac:dyDescent="0.25">
      <c r="A10" s="53">
        <v>7</v>
      </c>
      <c r="B10" s="54" t="s">
        <v>25</v>
      </c>
      <c r="C10" s="55">
        <f>'Данные по МКД-6'!B9</f>
        <v>0</v>
      </c>
      <c r="D10" s="55">
        <f>'Данные по МКД-6'!C9</f>
        <v>0</v>
      </c>
      <c r="E10" s="55">
        <f>'Данные по МКД-6'!D9</f>
        <v>0</v>
      </c>
      <c r="F10" s="55">
        <f>'Данные по МКД-6'!E9</f>
        <v>0</v>
      </c>
      <c r="G10" s="55">
        <f>'Данные по МКД-6'!F9</f>
        <v>0</v>
      </c>
      <c r="H10" s="55">
        <f>'Данные по МКД-6'!G9</f>
        <v>0</v>
      </c>
      <c r="I10" s="104">
        <f t="shared" si="0"/>
        <v>0</v>
      </c>
      <c r="J10" s="58"/>
    </row>
    <row r="11" spans="1:10" ht="28.5" x14ac:dyDescent="0.25">
      <c r="A11" s="53">
        <v>8</v>
      </c>
      <c r="B11" s="54" t="s">
        <v>16</v>
      </c>
      <c r="C11" s="55">
        <f>'Данные по МКД-6'!B10</f>
        <v>84368.16</v>
      </c>
      <c r="D11" s="55">
        <f>'Данные по МКД-6'!C10</f>
        <v>84127.26</v>
      </c>
      <c r="E11" s="55">
        <f>'Данные по МКД-6'!D10</f>
        <v>218366.9</v>
      </c>
      <c r="F11" s="55">
        <f>'Данные по МКД-6'!E10</f>
        <v>279122.09999999998</v>
      </c>
      <c r="G11" s="55">
        <f>'Данные по МКД-6'!F10</f>
        <v>75286.67</v>
      </c>
      <c r="H11" s="55">
        <f>'Данные по МКД-6'!G10</f>
        <v>0</v>
      </c>
      <c r="I11" s="104">
        <f t="shared" si="0"/>
        <v>741271.09</v>
      </c>
      <c r="J11" s="58"/>
    </row>
    <row r="12" spans="1:10" ht="28.5" x14ac:dyDescent="0.25">
      <c r="A12" s="53">
        <v>9</v>
      </c>
      <c r="B12" s="54" t="s">
        <v>15</v>
      </c>
      <c r="C12" s="55">
        <f>'Данные по МКД-6'!B11</f>
        <v>121460.76</v>
      </c>
      <c r="D12" s="55">
        <f>'Данные по МКД-6'!C11</f>
        <v>121493.64</v>
      </c>
      <c r="E12" s="55">
        <f>'Данные по МКД-6'!D11</f>
        <v>262505.25</v>
      </c>
      <c r="F12" s="55">
        <f>'Данные по МКД-6'!E11</f>
        <v>420217.14</v>
      </c>
      <c r="G12" s="55">
        <f>'Данные по МКД-6'!F11</f>
        <v>105176.85</v>
      </c>
      <c r="H12" s="55">
        <f>'Данные по МКД-6'!G11</f>
        <v>239709.68</v>
      </c>
      <c r="I12" s="104">
        <f t="shared" si="0"/>
        <v>1270563.32</v>
      </c>
      <c r="J12" s="58"/>
    </row>
    <row r="13" spans="1:10" x14ac:dyDescent="0.25">
      <c r="A13" s="53">
        <v>10</v>
      </c>
      <c r="B13" s="54" t="s">
        <v>24</v>
      </c>
      <c r="C13" s="55">
        <f>'Данные по МКД-6'!B12</f>
        <v>24665.759999999998</v>
      </c>
      <c r="D13" s="55">
        <f>'Данные по МКД-6'!C12</f>
        <v>23492.400000000001</v>
      </c>
      <c r="E13" s="55">
        <f>'Данные по МКД-6'!D12</f>
        <v>0</v>
      </c>
      <c r="F13" s="55">
        <f>'Данные по МКД-6'!E12</f>
        <v>0</v>
      </c>
      <c r="G13" s="55">
        <f>'Данные по МКД-6'!F12</f>
        <v>0</v>
      </c>
      <c r="H13" s="55">
        <f>'Данные по МКД-6'!G12</f>
        <v>0</v>
      </c>
      <c r="I13" s="104">
        <f t="shared" si="0"/>
        <v>48158.16</v>
      </c>
      <c r="J13" s="58"/>
    </row>
    <row r="14" spans="1:10" ht="28.5" x14ac:dyDescent="0.25">
      <c r="A14" s="53">
        <v>11</v>
      </c>
      <c r="B14" s="54" t="s">
        <v>23</v>
      </c>
      <c r="C14" s="55">
        <f>'Данные по МКД-6'!B13</f>
        <v>0</v>
      </c>
      <c r="D14" s="55">
        <f>'Данные по МКД-6'!C13</f>
        <v>0</v>
      </c>
      <c r="E14" s="55">
        <f>'Данные по МКД-6'!D13</f>
        <v>0</v>
      </c>
      <c r="F14" s="55">
        <f>'Данные по МКД-6'!E13</f>
        <v>0</v>
      </c>
      <c r="G14" s="55">
        <f>'Данные по МКД-6'!F13</f>
        <v>0</v>
      </c>
      <c r="H14" s="55">
        <f>'Данные по МКД-6'!G13</f>
        <v>0</v>
      </c>
      <c r="I14" s="104">
        <f t="shared" si="0"/>
        <v>0</v>
      </c>
      <c r="J14" s="58"/>
    </row>
    <row r="15" spans="1:10" ht="28.5" x14ac:dyDescent="0.25">
      <c r="A15" s="53">
        <v>12</v>
      </c>
      <c r="B15" s="54" t="s">
        <v>22</v>
      </c>
      <c r="C15" s="55">
        <f>'Данные по МКД-6'!B14</f>
        <v>38118.480000000003</v>
      </c>
      <c r="D15" s="55">
        <f>'Данные по МКД-6'!C14</f>
        <v>38010.720000000001</v>
      </c>
      <c r="E15" s="55">
        <f>'Данные по МКД-6'!D14</f>
        <v>98662.99</v>
      </c>
      <c r="F15" s="55">
        <f>'Данные по МКД-6'!E14</f>
        <v>126113.25</v>
      </c>
      <c r="G15" s="55">
        <f>'Данные по МКД-6'!F14</f>
        <v>34017.1</v>
      </c>
      <c r="H15" s="55">
        <f>'Данные по МКД-6'!G14</f>
        <v>0</v>
      </c>
      <c r="I15" s="104">
        <f t="shared" si="0"/>
        <v>334922.53999999998</v>
      </c>
      <c r="J15" s="58"/>
    </row>
    <row r="16" spans="1:10" ht="14.45" customHeight="1" x14ac:dyDescent="0.25">
      <c r="A16" s="53">
        <v>13</v>
      </c>
      <c r="B16" s="54" t="s">
        <v>19</v>
      </c>
      <c r="C16" s="55">
        <f>'Данные по МКД-6'!B15</f>
        <v>103987.38</v>
      </c>
      <c r="D16" s="55">
        <f>'Данные по МКД-6'!C15</f>
        <v>103691.7</v>
      </c>
      <c r="E16" s="55">
        <f>'Данные по МКД-6'!D15</f>
        <v>269149.05</v>
      </c>
      <c r="F16" s="55">
        <f>'Данные по МКД-6'!E15</f>
        <v>344032.80000000005</v>
      </c>
      <c r="G16" s="55">
        <f>'Данные по МКД-6'!F15</f>
        <v>92795.8</v>
      </c>
      <c r="H16" s="55">
        <f>'Данные по МКД-6'!G15</f>
        <v>299429.5</v>
      </c>
      <c r="I16" s="104">
        <f t="shared" si="0"/>
        <v>1213086.23</v>
      </c>
      <c r="J16" s="58"/>
    </row>
    <row r="17" spans="1:13" x14ac:dyDescent="0.25">
      <c r="A17" s="56">
        <v>14</v>
      </c>
      <c r="B17" s="57" t="s">
        <v>69</v>
      </c>
      <c r="C17" s="78">
        <v>139408.97</v>
      </c>
      <c r="D17" s="78">
        <v>470960.61</v>
      </c>
      <c r="E17" s="80">
        <f>819108.04+39665.35</f>
        <v>858773.39</v>
      </c>
      <c r="F17" s="80">
        <v>528615.18999999994</v>
      </c>
      <c r="G17" s="80">
        <v>86652.9</v>
      </c>
      <c r="H17" s="78">
        <f>635395.71+130962</f>
        <v>766357.71</v>
      </c>
      <c r="I17" s="104">
        <f t="shared" si="0"/>
        <v>2850768.7699999996</v>
      </c>
      <c r="J17" s="59"/>
      <c r="K17" s="49"/>
      <c r="L17" s="49"/>
      <c r="M17" s="49"/>
    </row>
    <row r="18" spans="1:13" x14ac:dyDescent="0.25">
      <c r="A18" s="53">
        <v>15</v>
      </c>
      <c r="B18" s="54" t="s">
        <v>70</v>
      </c>
      <c r="C18" s="55">
        <f>'Данные по МКД-6'!B17</f>
        <v>36998.04</v>
      </c>
      <c r="D18" s="55">
        <f>'Данные по МКД-6'!C17</f>
        <v>36892.559999999998</v>
      </c>
      <c r="E18" s="55">
        <f>'Данные по МКД-6'!D17</f>
        <v>95761.86</v>
      </c>
      <c r="F18" s="55">
        <f>'Данные по МКД-6'!E17</f>
        <v>122405.61</v>
      </c>
      <c r="G18" s="55">
        <f>'Данные по МКД-6'!F17</f>
        <v>33016.67</v>
      </c>
      <c r="H18" s="55">
        <f>'Данные по МКД-6'!G17</f>
        <v>82338.53</v>
      </c>
      <c r="I18" s="104">
        <f t="shared" si="0"/>
        <v>407413.27</v>
      </c>
      <c r="J18" s="58"/>
    </row>
    <row r="19" spans="1:13" x14ac:dyDescent="0.25">
      <c r="A19" s="53">
        <v>16</v>
      </c>
      <c r="B19" s="54" t="s">
        <v>71</v>
      </c>
      <c r="C19" s="55">
        <f>'Данные по МКД-6'!B18</f>
        <v>74175</v>
      </c>
      <c r="D19" s="55">
        <f>'Данные по МКД-6'!C18</f>
        <v>0</v>
      </c>
      <c r="E19" s="55">
        <f>'Данные по МКД-6'!D18</f>
        <v>238200</v>
      </c>
      <c r="F19" s="55">
        <f>'Данные по МКД-6'!E18</f>
        <v>181155</v>
      </c>
      <c r="G19" s="55">
        <f>'Данные по МКД-6'!F18</f>
        <v>35034.86</v>
      </c>
      <c r="H19" s="55">
        <f>'Данные по МКД-6'!G18</f>
        <v>0</v>
      </c>
      <c r="I19" s="104">
        <f t="shared" si="0"/>
        <v>528564.86</v>
      </c>
      <c r="J19" s="58"/>
    </row>
    <row r="20" spans="1:13" s="49" customFormat="1" x14ac:dyDescent="0.25">
      <c r="A20" s="53">
        <v>17</v>
      </c>
      <c r="B20" s="45" t="s">
        <v>83</v>
      </c>
      <c r="C20" s="55">
        <f>'Данные по МКД-6'!B19</f>
        <v>0</v>
      </c>
      <c r="D20" s="55">
        <f>'Данные по МКД-6'!C19</f>
        <v>144.84</v>
      </c>
      <c r="E20" s="55">
        <f>'Данные по МКД-6'!D19</f>
        <v>0</v>
      </c>
      <c r="F20" s="55">
        <f>'Данные по МКД-6'!E19</f>
        <v>0</v>
      </c>
      <c r="G20" s="55">
        <f>'Данные по МКД-6'!F19</f>
        <v>0</v>
      </c>
      <c r="H20" s="55">
        <f>'Данные по МКД-6'!G19</f>
        <v>42557.760000000002</v>
      </c>
      <c r="I20" s="104">
        <f t="shared" si="0"/>
        <v>42702.6</v>
      </c>
      <c r="J20" s="58"/>
    </row>
    <row r="21" spans="1:13" ht="15.75" thickBot="1" x14ac:dyDescent="0.3">
      <c r="A21" s="53">
        <v>18</v>
      </c>
      <c r="B21" s="54" t="s">
        <v>72</v>
      </c>
      <c r="C21" s="55">
        <f>'Данные по МКД-6'!B20</f>
        <v>80008</v>
      </c>
      <c r="D21" s="55">
        <f>'Данные по МКД-6'!C20</f>
        <v>0</v>
      </c>
      <c r="E21" s="55">
        <f>'Данные по МКД-6'!D20</f>
        <v>211730</v>
      </c>
      <c r="F21" s="55">
        <f>'Данные по МКД-6'!E20</f>
        <v>228248</v>
      </c>
      <c r="G21" s="55">
        <f>'Данные по МКД-6'!F20</f>
        <v>63934.86</v>
      </c>
      <c r="H21" s="55">
        <f>'Данные по МКД-6'!G20</f>
        <v>0</v>
      </c>
      <c r="I21" s="104">
        <f t="shared" si="0"/>
        <v>583920.86</v>
      </c>
      <c r="J21" s="58"/>
    </row>
    <row r="22" spans="1:13" ht="15.75" thickBot="1" x14ac:dyDescent="0.3">
      <c r="A22" s="49"/>
      <c r="B22" s="102"/>
      <c r="C22" s="105">
        <f>SUM(C4:C21)</f>
        <v>1889783.93</v>
      </c>
      <c r="D22" s="105">
        <f t="shared" ref="D22:I22" si="1">SUM(D4:D21)</f>
        <v>2138080.6299999994</v>
      </c>
      <c r="E22" s="105">
        <f t="shared" si="1"/>
        <v>5317189.07</v>
      </c>
      <c r="F22" s="105">
        <f t="shared" si="1"/>
        <v>5734907.3400000008</v>
      </c>
      <c r="G22" s="105">
        <f t="shared" si="1"/>
        <v>1522091.4700000002</v>
      </c>
      <c r="H22" s="105">
        <f t="shared" si="1"/>
        <v>4386267.1900000004</v>
      </c>
      <c r="I22" s="105">
        <f t="shared" si="1"/>
        <v>20988319.629999999</v>
      </c>
      <c r="J22" s="49"/>
    </row>
    <row r="23" spans="1:13" x14ac:dyDescent="0.25">
      <c r="B23" s="102"/>
      <c r="C23" s="101">
        <f>C22-C17+'Данные по МКД-6'!B16-'Данные по МКД-6'!B21</f>
        <v>2098495.08</v>
      </c>
      <c r="D23" s="101">
        <f>D22-D17+'Данные по МКД-6'!C16-'Данные по МКД-6'!C21</f>
        <v>2014248.5799999996</v>
      </c>
      <c r="E23" s="101">
        <f>E22-E17+'Данные по МКД-6'!D16-'Данные по МКД-6'!D21</f>
        <v>5359448.1800000006</v>
      </c>
      <c r="F23" s="101">
        <f>F22-F17+'Данные по МКД-6'!E16-'Данные по МКД-6'!E21</f>
        <v>6358013.3300000001</v>
      </c>
      <c r="G23" s="101">
        <f>G22-G17+'Данные по МКД-6'!F16-'Данные по МКД-6'!F21</f>
        <v>1746092.8200000003</v>
      </c>
      <c r="H23" s="101">
        <f>H22-H17+'Данные по МКД-6'!G16-'Данные по МКД-6'!G21</f>
        <v>4627069.3800000008</v>
      </c>
      <c r="I23" s="101">
        <f>I22-I17+'Данные по МКД-6'!H16-'Данные по МКД-6'!H21</f>
        <v>22203367.369999997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G38" sqref="G38"/>
    </sheetView>
  </sheetViews>
  <sheetFormatPr defaultColWidth="18.140625" defaultRowHeight="15" x14ac:dyDescent="0.25"/>
  <cols>
    <col min="1" max="1" width="3.140625" customWidth="1"/>
    <col min="2" max="2" width="80.140625" customWidth="1"/>
    <col min="3" max="3" width="18.42578125" customWidth="1"/>
    <col min="8" max="8" width="15.85546875" customWidth="1"/>
    <col min="9" max="9" width="14.140625" style="102" customWidth="1"/>
    <col min="10" max="37" width="8.140625" customWidth="1"/>
  </cols>
  <sheetData>
    <row r="1" spans="1:9" ht="15.75" thickBot="1" x14ac:dyDescent="0.3">
      <c r="B1" s="2" t="s">
        <v>67</v>
      </c>
      <c r="C1" s="89"/>
      <c r="D1" s="89"/>
      <c r="E1" s="89"/>
      <c r="F1" s="89"/>
      <c r="G1" s="89"/>
    </row>
    <row r="2" spans="1:9" ht="30.75" thickBot="1" x14ac:dyDescent="0.3">
      <c r="B2" s="2" t="s">
        <v>50</v>
      </c>
      <c r="C2" s="61" t="s">
        <v>75</v>
      </c>
      <c r="D2" s="61" t="s">
        <v>76</v>
      </c>
      <c r="E2" s="61" t="s">
        <v>77</v>
      </c>
      <c r="F2" s="61" t="s">
        <v>79</v>
      </c>
      <c r="G2" s="61" t="s">
        <v>80</v>
      </c>
      <c r="H2" s="61" t="s">
        <v>81</v>
      </c>
      <c r="I2" s="103" t="s">
        <v>63</v>
      </c>
    </row>
    <row r="3" spans="1:9" ht="15.75" x14ac:dyDescent="0.25">
      <c r="A3" s="3">
        <v>1</v>
      </c>
      <c r="B3" s="41" t="s">
        <v>0</v>
      </c>
      <c r="C3" s="19">
        <v>845.32</v>
      </c>
      <c r="D3" s="19"/>
      <c r="E3" s="19">
        <v>7365.29</v>
      </c>
      <c r="F3" s="19">
        <v>47827.93</v>
      </c>
      <c r="G3" s="16">
        <v>102.11</v>
      </c>
      <c r="H3" s="53">
        <v>1497.58</v>
      </c>
      <c r="I3" s="106"/>
    </row>
    <row r="4" spans="1:9" ht="15.75" x14ac:dyDescent="0.25">
      <c r="A4" s="3">
        <v>2</v>
      </c>
      <c r="B4" s="41" t="s">
        <v>1</v>
      </c>
      <c r="C4" s="19"/>
      <c r="D4" s="19"/>
      <c r="E4" s="19"/>
      <c r="F4" s="19"/>
      <c r="G4" s="16"/>
      <c r="H4" s="53"/>
      <c r="I4" s="106"/>
    </row>
    <row r="5" spans="1:9" ht="15.75" x14ac:dyDescent="0.25">
      <c r="A5" s="3">
        <v>3</v>
      </c>
      <c r="B5" s="41" t="s">
        <v>2</v>
      </c>
      <c r="C5" s="19">
        <v>536747.99999999965</v>
      </c>
      <c r="D5" s="19">
        <v>78586.600000000093</v>
      </c>
      <c r="E5" s="19">
        <v>1627886.0899999999</v>
      </c>
      <c r="F5" s="19">
        <v>3046655.27</v>
      </c>
      <c r="G5" s="19">
        <v>788976.93</v>
      </c>
      <c r="H5" s="19">
        <v>517260.12000000005</v>
      </c>
      <c r="I5" s="106"/>
    </row>
    <row r="6" spans="1:9" ht="31.5" x14ac:dyDescent="0.25">
      <c r="A6" s="3">
        <v>4</v>
      </c>
      <c r="B6" s="42" t="s">
        <v>3</v>
      </c>
      <c r="C6" s="79">
        <f>SUM(C7:C24)</f>
        <v>2098495.08</v>
      </c>
      <c r="D6" s="79">
        <f t="shared" ref="D6:I6" si="0">SUM(D7:D24)</f>
        <v>2014248.5799999998</v>
      </c>
      <c r="E6" s="79">
        <f t="shared" si="0"/>
        <v>5359448.1800000006</v>
      </c>
      <c r="F6" s="79">
        <f t="shared" si="0"/>
        <v>6358013.3300000001</v>
      </c>
      <c r="G6" s="79">
        <f t="shared" si="0"/>
        <v>1746092.8200000003</v>
      </c>
      <c r="H6" s="79">
        <f t="shared" si="0"/>
        <v>4627069.38</v>
      </c>
      <c r="I6" s="107">
        <f t="shared" si="0"/>
        <v>22203367.370000001</v>
      </c>
    </row>
    <row r="7" spans="1:9" x14ac:dyDescent="0.25">
      <c r="A7" s="3"/>
      <c r="B7" s="43" t="s">
        <v>18</v>
      </c>
      <c r="C7" s="20">
        <f>'Данные по МКД-6'!B3</f>
        <v>188004.21</v>
      </c>
      <c r="D7" s="20">
        <f>'Данные по МКД-6'!C3</f>
        <v>159452.47999999998</v>
      </c>
      <c r="E7" s="20">
        <f>'Данные по МКД-6'!D3</f>
        <v>669560.24</v>
      </c>
      <c r="F7" s="20">
        <f>'Данные по МКД-6'!E3</f>
        <v>649190.21</v>
      </c>
      <c r="G7" s="20">
        <f>'Данные по МКД-6'!F3</f>
        <v>162430.76</v>
      </c>
      <c r="H7" s="20">
        <f>'Данные по МКД-6'!G3</f>
        <v>632475.02</v>
      </c>
      <c r="I7" s="108">
        <f t="shared" ref="I7:I34" si="1">SUM(C7:H7)</f>
        <v>2461112.92</v>
      </c>
    </row>
    <row r="8" spans="1:9" ht="28.5" x14ac:dyDescent="0.25">
      <c r="A8" s="3"/>
      <c r="B8" s="43" t="s">
        <v>27</v>
      </c>
      <c r="C8" s="20">
        <f>'Данные по МКД-6'!B4</f>
        <v>998589.16999999993</v>
      </c>
      <c r="D8" s="20">
        <f>'Данные по МКД-6'!C4</f>
        <v>1099814.42</v>
      </c>
      <c r="E8" s="20">
        <f>'Данные по МКД-6'!D4</f>
        <v>2394479.39</v>
      </c>
      <c r="F8" s="20">
        <f>'Данные по МКД-6'!E4</f>
        <v>2855808.04</v>
      </c>
      <c r="G8" s="20">
        <f>'Данные по МКД-6'!F4</f>
        <v>833745</v>
      </c>
      <c r="H8" s="20">
        <f>'Данные по МКД-6'!G4</f>
        <v>2323398.9899999998</v>
      </c>
      <c r="I8" s="108">
        <f t="shared" si="1"/>
        <v>10505835.01</v>
      </c>
    </row>
    <row r="9" spans="1:9" x14ac:dyDescent="0.25">
      <c r="A9" s="3"/>
      <c r="B9" s="43" t="s">
        <v>17</v>
      </c>
      <c r="C9" s="20">
        <f>'Данные по МКД-6'!B5</f>
        <v>0</v>
      </c>
      <c r="D9" s="20">
        <f>'Данные по МКД-6'!C5</f>
        <v>0</v>
      </c>
      <c r="E9" s="20">
        <f>'Данные по МКД-6'!D5</f>
        <v>0</v>
      </c>
      <c r="F9" s="20">
        <f>'Данные по МКД-6'!E5</f>
        <v>0</v>
      </c>
      <c r="G9" s="20">
        <f>'Данные по МКД-6'!F5</f>
        <v>0</v>
      </c>
      <c r="H9" s="20">
        <f>'Данные по МКД-6'!G5</f>
        <v>0</v>
      </c>
      <c r="I9" s="108">
        <f t="shared" si="1"/>
        <v>0</v>
      </c>
    </row>
    <row r="10" spans="1:9" ht="28.5" x14ac:dyDescent="0.25">
      <c r="A10" s="3"/>
      <c r="B10" s="43" t="s">
        <v>20</v>
      </c>
      <c r="C10" s="20">
        <f>'Данные по МКД-6'!B6</f>
        <v>0</v>
      </c>
      <c r="D10" s="20">
        <f>'Данные по МКД-6'!C6</f>
        <v>0</v>
      </c>
      <c r="E10" s="20">
        <f>'Данные по МКД-6'!D6</f>
        <v>0</v>
      </c>
      <c r="F10" s="20">
        <f>'Данные по МКД-6'!E6</f>
        <v>0</v>
      </c>
      <c r="G10" s="20">
        <f>'Данные по МКД-6'!F6</f>
        <v>0</v>
      </c>
      <c r="H10" s="20">
        <f>'Данные по МКД-6'!G6</f>
        <v>0</v>
      </c>
      <c r="I10" s="108">
        <f t="shared" si="1"/>
        <v>0</v>
      </c>
    </row>
    <row r="11" spans="1:9" ht="28.5" x14ac:dyDescent="0.25">
      <c r="A11" s="3"/>
      <c r="B11" s="43" t="s">
        <v>21</v>
      </c>
      <c r="C11" s="20">
        <f>'Данные по МКД-6'!B7</f>
        <v>0</v>
      </c>
      <c r="D11" s="20">
        <f>'Данные по МКД-6'!C7</f>
        <v>0</v>
      </c>
      <c r="E11" s="20">
        <f>'Данные по МКД-6'!D7</f>
        <v>0</v>
      </c>
      <c r="F11" s="20">
        <f>'Данные по МКД-6'!E7</f>
        <v>0</v>
      </c>
      <c r="G11" s="20">
        <f>'Данные по МКД-6'!F7</f>
        <v>0</v>
      </c>
      <c r="H11" s="20">
        <f>'Данные по МКД-6'!G7</f>
        <v>0</v>
      </c>
      <c r="I11" s="108">
        <f t="shared" si="1"/>
        <v>0</v>
      </c>
    </row>
    <row r="12" spans="1:9" ht="28.5" x14ac:dyDescent="0.25">
      <c r="A12" s="3"/>
      <c r="B12" s="43" t="s">
        <v>26</v>
      </c>
      <c r="C12" s="20">
        <f>'Данные по МКД-6'!B8</f>
        <v>0</v>
      </c>
      <c r="D12" s="20">
        <f>'Данные по МКД-6'!C8</f>
        <v>0</v>
      </c>
      <c r="E12" s="20">
        <f>'Данные по МКД-6'!D8</f>
        <v>0</v>
      </c>
      <c r="F12" s="20">
        <f>'Данные по МКД-6'!E8</f>
        <v>0</v>
      </c>
      <c r="G12" s="20">
        <f>'Данные по МКД-6'!F8</f>
        <v>0</v>
      </c>
      <c r="H12" s="20">
        <f>'Данные по МКД-6'!G8</f>
        <v>0</v>
      </c>
      <c r="I12" s="108">
        <f t="shared" si="1"/>
        <v>0</v>
      </c>
    </row>
    <row r="13" spans="1:9" ht="42.75" x14ac:dyDescent="0.25">
      <c r="A13" s="3"/>
      <c r="B13" s="43" t="s">
        <v>25</v>
      </c>
      <c r="C13" s="20">
        <f>'Данные по МКД-6'!B9</f>
        <v>0</v>
      </c>
      <c r="D13" s="20">
        <f>'Данные по МКД-6'!C9</f>
        <v>0</v>
      </c>
      <c r="E13" s="20">
        <f>'Данные по МКД-6'!D9</f>
        <v>0</v>
      </c>
      <c r="F13" s="20">
        <f>'Данные по МКД-6'!E9</f>
        <v>0</v>
      </c>
      <c r="G13" s="20">
        <f>'Данные по МКД-6'!F9</f>
        <v>0</v>
      </c>
      <c r="H13" s="20">
        <f>'Данные по МКД-6'!G9</f>
        <v>0</v>
      </c>
      <c r="I13" s="108">
        <f t="shared" si="1"/>
        <v>0</v>
      </c>
    </row>
    <row r="14" spans="1:9" x14ac:dyDescent="0.25">
      <c r="A14" s="3"/>
      <c r="B14" s="43" t="s">
        <v>16</v>
      </c>
      <c r="C14" s="20">
        <f>'Данные по МКД-6'!B10</f>
        <v>84368.16</v>
      </c>
      <c r="D14" s="20">
        <f>'Данные по МКД-6'!C10</f>
        <v>84127.26</v>
      </c>
      <c r="E14" s="20">
        <f>'Данные по МКД-6'!D10</f>
        <v>218366.9</v>
      </c>
      <c r="F14" s="20">
        <f>'Данные по МКД-6'!E10</f>
        <v>279122.09999999998</v>
      </c>
      <c r="G14" s="20">
        <f>'Данные по МКД-6'!F10</f>
        <v>75286.67</v>
      </c>
      <c r="H14" s="20">
        <f>'Данные по МКД-6'!G10</f>
        <v>0</v>
      </c>
      <c r="I14" s="108">
        <f t="shared" si="1"/>
        <v>741271.09</v>
      </c>
    </row>
    <row r="15" spans="1:9" x14ac:dyDescent="0.25">
      <c r="A15" s="3"/>
      <c r="B15" s="43" t="s">
        <v>15</v>
      </c>
      <c r="C15" s="20">
        <f>'Данные по МКД-6'!B11</f>
        <v>121460.76</v>
      </c>
      <c r="D15" s="20">
        <f>'Данные по МКД-6'!C11</f>
        <v>121493.64</v>
      </c>
      <c r="E15" s="20">
        <f>'Данные по МКД-6'!D11</f>
        <v>262505.25</v>
      </c>
      <c r="F15" s="20">
        <f>'Данные по МКД-6'!E11</f>
        <v>420217.14</v>
      </c>
      <c r="G15" s="20">
        <f>'Данные по МКД-6'!F11</f>
        <v>105176.85</v>
      </c>
      <c r="H15" s="20">
        <f>'Данные по МКД-6'!G11</f>
        <v>239709.68</v>
      </c>
      <c r="I15" s="108">
        <f t="shared" si="1"/>
        <v>1270563.32</v>
      </c>
    </row>
    <row r="16" spans="1:9" x14ac:dyDescent="0.25">
      <c r="A16" s="3"/>
      <c r="B16" s="43" t="s">
        <v>24</v>
      </c>
      <c r="C16" s="20">
        <f>'Данные по МКД-6'!B12</f>
        <v>24665.759999999998</v>
      </c>
      <c r="D16" s="20">
        <f>'Данные по МКД-6'!C12</f>
        <v>23492.400000000001</v>
      </c>
      <c r="E16" s="20">
        <f>'Данные по МКД-6'!D12</f>
        <v>0</v>
      </c>
      <c r="F16" s="20">
        <f>'Данные по МКД-6'!E12</f>
        <v>0</v>
      </c>
      <c r="G16" s="20">
        <f>'Данные по МКД-6'!F12</f>
        <v>0</v>
      </c>
      <c r="H16" s="20">
        <f>'Данные по МКД-6'!G12</f>
        <v>0</v>
      </c>
      <c r="I16" s="108">
        <f t="shared" si="1"/>
        <v>48158.16</v>
      </c>
    </row>
    <row r="17" spans="1:9" x14ac:dyDescent="0.25">
      <c r="A17" s="3"/>
      <c r="B17" s="43" t="s">
        <v>23</v>
      </c>
      <c r="C17" s="20">
        <f>'Данные по МКД-6'!B13</f>
        <v>0</v>
      </c>
      <c r="D17" s="20">
        <f>'Данные по МКД-6'!C13</f>
        <v>0</v>
      </c>
      <c r="E17" s="20">
        <f>'Данные по МКД-6'!D13</f>
        <v>0</v>
      </c>
      <c r="F17" s="20">
        <f>'Данные по МКД-6'!E13</f>
        <v>0</v>
      </c>
      <c r="G17" s="20">
        <f>'Данные по МКД-6'!F13</f>
        <v>0</v>
      </c>
      <c r="H17" s="20">
        <f>'Данные по МКД-6'!G13</f>
        <v>0</v>
      </c>
      <c r="I17" s="108">
        <f t="shared" si="1"/>
        <v>0</v>
      </c>
    </row>
    <row r="18" spans="1:9" ht="28.5" x14ac:dyDescent="0.25">
      <c r="A18" s="3"/>
      <c r="B18" s="43" t="s">
        <v>22</v>
      </c>
      <c r="C18" s="20">
        <f>'Данные по МКД-6'!B14</f>
        <v>38118.480000000003</v>
      </c>
      <c r="D18" s="20">
        <f>'Данные по МКД-6'!C14</f>
        <v>38010.720000000001</v>
      </c>
      <c r="E18" s="20">
        <f>'Данные по МКД-6'!D14</f>
        <v>98662.99</v>
      </c>
      <c r="F18" s="20">
        <f>'Данные по МКД-6'!E14</f>
        <v>126113.25</v>
      </c>
      <c r="G18" s="20">
        <f>'Данные по МКД-6'!F14</f>
        <v>34017.1</v>
      </c>
      <c r="H18" s="20">
        <f>'Данные по МКД-6'!G14</f>
        <v>0</v>
      </c>
      <c r="I18" s="108">
        <f t="shared" si="1"/>
        <v>334922.53999999998</v>
      </c>
    </row>
    <row r="19" spans="1:9" ht="42.75" x14ac:dyDescent="0.25">
      <c r="A19" s="3"/>
      <c r="B19" s="43" t="s">
        <v>19</v>
      </c>
      <c r="C19" s="20">
        <f>'Данные по МКД-6'!B15</f>
        <v>103987.38</v>
      </c>
      <c r="D19" s="20">
        <f>'Данные по МКД-6'!C15</f>
        <v>103691.7</v>
      </c>
      <c r="E19" s="20">
        <f>'Данные по МКД-6'!D15</f>
        <v>269149.05</v>
      </c>
      <c r="F19" s="20">
        <f>'Данные по МКД-6'!E15</f>
        <v>344032.80000000005</v>
      </c>
      <c r="G19" s="20">
        <f>'Данные по МКД-6'!F15</f>
        <v>92795.8</v>
      </c>
      <c r="H19" s="20">
        <f>'Данные по МКД-6'!G15</f>
        <v>299429.5</v>
      </c>
      <c r="I19" s="108">
        <f t="shared" si="1"/>
        <v>1213086.23</v>
      </c>
    </row>
    <row r="20" spans="1:9" x14ac:dyDescent="0.25">
      <c r="A20" s="3"/>
      <c r="B20" s="43" t="s">
        <v>69</v>
      </c>
      <c r="C20" s="20">
        <f>'Данные по МКД-6'!B16</f>
        <v>348120.12</v>
      </c>
      <c r="D20" s="20">
        <f>'Данные по МКД-6'!C16</f>
        <v>347128.56</v>
      </c>
      <c r="E20" s="20">
        <f>'Данные по МКД-6'!D16</f>
        <v>901032.5</v>
      </c>
      <c r="F20" s="20">
        <f>'Данные по МКД-6'!E16</f>
        <v>1151721.18</v>
      </c>
      <c r="G20" s="20">
        <f>'Данные по МКД-6'!F16</f>
        <v>310654.25</v>
      </c>
      <c r="H20" s="20">
        <f>'Данные по МКД-6'!G16</f>
        <v>1007159.9</v>
      </c>
      <c r="I20" s="108">
        <f t="shared" si="1"/>
        <v>4065816.51</v>
      </c>
    </row>
    <row r="21" spans="1:9" x14ac:dyDescent="0.25">
      <c r="A21" s="3"/>
      <c r="B21" s="43" t="s">
        <v>70</v>
      </c>
      <c r="C21" s="20">
        <f>'Данные по МКД-6'!B17</f>
        <v>36998.04</v>
      </c>
      <c r="D21" s="20">
        <f>'Данные по МКД-6'!C17</f>
        <v>36892.559999999998</v>
      </c>
      <c r="E21" s="20">
        <f>'Данные по МКД-6'!D17</f>
        <v>95761.86</v>
      </c>
      <c r="F21" s="20">
        <f>'Данные по МКД-6'!E17</f>
        <v>122405.61</v>
      </c>
      <c r="G21" s="20">
        <f>'Данные по МКД-6'!F17</f>
        <v>33016.67</v>
      </c>
      <c r="H21" s="20">
        <f>'Данные по МКД-6'!G17</f>
        <v>82338.53</v>
      </c>
      <c r="I21" s="108">
        <f t="shared" si="1"/>
        <v>407413.27</v>
      </c>
    </row>
    <row r="22" spans="1:9" x14ac:dyDescent="0.25">
      <c r="A22" s="3"/>
      <c r="B22" s="43" t="s">
        <v>71</v>
      </c>
      <c r="C22" s="20">
        <f>'Данные по МКД-6'!B18</f>
        <v>74175</v>
      </c>
      <c r="D22" s="20">
        <f>'Данные по МКД-6'!C18</f>
        <v>0</v>
      </c>
      <c r="E22" s="20">
        <f>'Данные по МКД-6'!D18</f>
        <v>238200</v>
      </c>
      <c r="F22" s="20">
        <f>'Данные по МКД-6'!E18</f>
        <v>181155</v>
      </c>
      <c r="G22" s="20">
        <f>'Данные по МКД-6'!F18</f>
        <v>35034.86</v>
      </c>
      <c r="H22" s="20">
        <f>'Данные по МКД-6'!G18</f>
        <v>0</v>
      </c>
      <c r="I22" s="108">
        <f t="shared" si="1"/>
        <v>528564.86</v>
      </c>
    </row>
    <row r="23" spans="1:9" s="49" customFormat="1" x14ac:dyDescent="0.25">
      <c r="A23" s="53"/>
      <c r="B23" s="45" t="s">
        <v>83</v>
      </c>
      <c r="C23" s="20">
        <f>'Данные по МКД-6'!B19</f>
        <v>0</v>
      </c>
      <c r="D23" s="20">
        <f>'Данные по МКД-6'!C19</f>
        <v>144.84</v>
      </c>
      <c r="E23" s="20">
        <f>'Данные по МКД-6'!D19</f>
        <v>0</v>
      </c>
      <c r="F23" s="20">
        <f>'Данные по МКД-6'!E19</f>
        <v>0</v>
      </c>
      <c r="G23" s="20">
        <f>'Данные по МКД-6'!F19</f>
        <v>0</v>
      </c>
      <c r="H23" s="20">
        <f>'Данные по МКД-6'!G19</f>
        <v>42557.760000000002</v>
      </c>
      <c r="I23" s="108">
        <f t="shared" si="1"/>
        <v>42702.6</v>
      </c>
    </row>
    <row r="24" spans="1:9" x14ac:dyDescent="0.25">
      <c r="A24" s="3"/>
      <c r="B24" s="43" t="s">
        <v>72</v>
      </c>
      <c r="C24" s="20">
        <f>'Данные по МКД-6'!B20</f>
        <v>80008</v>
      </c>
      <c r="D24" s="20">
        <f>'Данные по МКД-6'!C20</f>
        <v>0</v>
      </c>
      <c r="E24" s="20">
        <f>'Данные по МКД-6'!D20</f>
        <v>211730</v>
      </c>
      <c r="F24" s="20">
        <f>'Данные по МКД-6'!E20</f>
        <v>228248</v>
      </c>
      <c r="G24" s="20">
        <f>'Данные по МКД-6'!F20</f>
        <v>63934.86</v>
      </c>
      <c r="H24" s="20">
        <f>'Данные по МКД-6'!G20</f>
        <v>0</v>
      </c>
      <c r="I24" s="108">
        <f t="shared" si="1"/>
        <v>583920.86</v>
      </c>
    </row>
    <row r="25" spans="1:9" ht="15.75" x14ac:dyDescent="0.25">
      <c r="A25" s="3">
        <v>5</v>
      </c>
      <c r="B25" s="42" t="s">
        <v>4</v>
      </c>
      <c r="C25" s="20"/>
      <c r="D25" s="20"/>
      <c r="E25" s="20"/>
      <c r="F25" s="20"/>
      <c r="G25" s="16"/>
      <c r="H25" s="3"/>
      <c r="I25" s="108">
        <f t="shared" si="1"/>
        <v>0</v>
      </c>
    </row>
    <row r="26" spans="1:9" ht="15.75" x14ac:dyDescent="0.25">
      <c r="A26" s="3"/>
      <c r="B26" s="41" t="s">
        <v>5</v>
      </c>
      <c r="C26" s="20">
        <f>C38*C37</f>
        <v>2144313.3839999996</v>
      </c>
      <c r="D26" s="20">
        <f t="shared" ref="D26:H26" si="2">D38*D37</f>
        <v>1847256.9975000001</v>
      </c>
      <c r="E26" s="20">
        <f t="shared" si="2"/>
        <v>4750925.2921000002</v>
      </c>
      <c r="F26" s="20">
        <f t="shared" si="2"/>
        <v>6846550.4255999997</v>
      </c>
      <c r="G26" s="20">
        <f t="shared" si="2"/>
        <v>1725555.4595999999</v>
      </c>
      <c r="H26" s="20">
        <f t="shared" si="2"/>
        <v>3417764.5698000002</v>
      </c>
      <c r="I26" s="108">
        <f t="shared" si="1"/>
        <v>20732366.128600001</v>
      </c>
    </row>
    <row r="27" spans="1:9" ht="15.75" x14ac:dyDescent="0.25">
      <c r="A27" s="3"/>
      <c r="B27" s="41" t="s">
        <v>6</v>
      </c>
      <c r="C27" s="20"/>
      <c r="D27" s="20"/>
      <c r="E27" s="20"/>
      <c r="F27" s="20"/>
      <c r="G27" s="20"/>
      <c r="H27" s="20"/>
      <c r="I27" s="108">
        <f t="shared" si="1"/>
        <v>0</v>
      </c>
    </row>
    <row r="28" spans="1:9" ht="15.75" x14ac:dyDescent="0.25">
      <c r="A28" s="3"/>
      <c r="B28" s="41" t="s">
        <v>7</v>
      </c>
      <c r="C28" s="20"/>
      <c r="D28" s="20"/>
      <c r="E28" s="20"/>
      <c r="F28" s="20"/>
      <c r="G28" s="20"/>
      <c r="H28" s="20"/>
      <c r="I28" s="108">
        <f t="shared" si="1"/>
        <v>0</v>
      </c>
    </row>
    <row r="29" spans="1:9" ht="15.75" x14ac:dyDescent="0.25">
      <c r="A29" s="3"/>
      <c r="B29" s="41" t="s">
        <v>8</v>
      </c>
      <c r="C29" s="20"/>
      <c r="D29" s="20"/>
      <c r="E29" s="20"/>
      <c r="F29" s="20"/>
      <c r="G29" s="20"/>
      <c r="H29" s="20"/>
      <c r="I29" s="108">
        <f t="shared" si="1"/>
        <v>0</v>
      </c>
    </row>
    <row r="30" spans="1:9" ht="15.75" x14ac:dyDescent="0.25">
      <c r="A30" s="3"/>
      <c r="B30" s="41" t="s">
        <v>9</v>
      </c>
      <c r="C30" s="20"/>
      <c r="D30" s="20"/>
      <c r="E30" s="20"/>
      <c r="F30" s="20"/>
      <c r="G30" s="20"/>
      <c r="H30" s="20"/>
      <c r="I30" s="108">
        <f t="shared" si="1"/>
        <v>0</v>
      </c>
    </row>
    <row r="31" spans="1:9" ht="15.75" x14ac:dyDescent="0.25">
      <c r="A31" s="3">
        <v>6</v>
      </c>
      <c r="B31" s="41" t="s">
        <v>10</v>
      </c>
      <c r="C31" s="19">
        <f>C26</f>
        <v>2144313.3839999996</v>
      </c>
      <c r="D31" s="19">
        <f t="shared" ref="D31:H31" si="3">D26</f>
        <v>1847256.9975000001</v>
      </c>
      <c r="E31" s="19">
        <f t="shared" si="3"/>
        <v>4750925.2921000002</v>
      </c>
      <c r="F31" s="19">
        <f t="shared" si="3"/>
        <v>6846550.4255999997</v>
      </c>
      <c r="G31" s="19">
        <f t="shared" si="3"/>
        <v>1725555.4595999999</v>
      </c>
      <c r="H31" s="19">
        <f t="shared" si="3"/>
        <v>3417764.5698000002</v>
      </c>
      <c r="I31" s="108">
        <f t="shared" si="1"/>
        <v>20732366.128600001</v>
      </c>
    </row>
    <row r="32" spans="1:9" ht="15.75" x14ac:dyDescent="0.25">
      <c r="A32" s="3">
        <v>7</v>
      </c>
      <c r="B32" s="41" t="s">
        <v>11</v>
      </c>
      <c r="C32" s="19">
        <f>C40*C37</f>
        <v>7277.5631999999996</v>
      </c>
      <c r="D32" s="19">
        <f t="shared" ref="D32:H32" si="4">D40*D37</f>
        <v>0</v>
      </c>
      <c r="E32" s="19">
        <f t="shared" si="4"/>
        <v>3597.5132999999996</v>
      </c>
      <c r="F32" s="19">
        <f t="shared" si="4"/>
        <v>42214.617599999998</v>
      </c>
      <c r="G32" s="19">
        <f t="shared" si="4"/>
        <v>1213.8588</v>
      </c>
      <c r="H32" s="19">
        <f t="shared" si="4"/>
        <v>17961.535199999998</v>
      </c>
      <c r="I32" s="108">
        <f t="shared" si="1"/>
        <v>72265.088099999994</v>
      </c>
    </row>
    <row r="33" spans="1:9" ht="15.75" x14ac:dyDescent="0.25">
      <c r="A33" s="3">
        <v>8</v>
      </c>
      <c r="B33" s="41" t="s">
        <v>12</v>
      </c>
      <c r="C33" s="19"/>
      <c r="D33" s="19"/>
      <c r="E33" s="19"/>
      <c r="F33" s="19"/>
      <c r="G33" s="16"/>
      <c r="H33" s="53"/>
      <c r="I33" s="108">
        <f t="shared" si="1"/>
        <v>0</v>
      </c>
    </row>
    <row r="34" spans="1:9" ht="15.75" x14ac:dyDescent="0.25">
      <c r="A34" s="17">
        <v>9</v>
      </c>
      <c r="B34" s="41" t="s">
        <v>13</v>
      </c>
      <c r="C34" s="19">
        <f>C5-C3+C6-C31+C32</f>
        <v>497361.93920000014</v>
      </c>
      <c r="D34" s="19">
        <v>78586.600000000093</v>
      </c>
      <c r="E34" s="19">
        <v>1627886.0899999999</v>
      </c>
      <c r="F34" s="19">
        <v>3046655.27</v>
      </c>
      <c r="G34" s="19">
        <v>788976.93</v>
      </c>
      <c r="H34" s="19">
        <v>517260.12000000005</v>
      </c>
      <c r="I34" s="108">
        <f t="shared" si="1"/>
        <v>6556726.9491999997</v>
      </c>
    </row>
    <row r="35" spans="1:9" x14ac:dyDescent="0.25">
      <c r="C35" s="101">
        <f>C6-'Данные по МКД-6'!B21</f>
        <v>2098495.08</v>
      </c>
      <c r="D35" s="101">
        <f>D6-'Данные по МКД-6'!C21</f>
        <v>2014248.5799999998</v>
      </c>
      <c r="E35" s="101">
        <f>E6-'Данные по МКД-6'!D21</f>
        <v>5359448.1800000006</v>
      </c>
      <c r="F35" s="101">
        <f>F6-'Данные по МКД-6'!E21</f>
        <v>6358013.3300000001</v>
      </c>
      <c r="G35" s="101">
        <f>G6-'Данные по МКД-6'!F21</f>
        <v>1746092.8200000003</v>
      </c>
      <c r="H35" s="101">
        <f>H6-'Данные по МКД-6'!G21</f>
        <v>4627069.38</v>
      </c>
      <c r="I35" s="101">
        <f>I6-'Данные по МКД-6'!H21</f>
        <v>22203367.370000001</v>
      </c>
    </row>
    <row r="36" spans="1:9" x14ac:dyDescent="0.25">
      <c r="C36" s="101"/>
      <c r="D36" s="101"/>
      <c r="E36" s="101"/>
      <c r="F36" s="101"/>
      <c r="G36" s="102"/>
      <c r="H36" s="102"/>
    </row>
    <row r="37" spans="1:9" x14ac:dyDescent="0.25">
      <c r="C37" s="102">
        <v>0.48</v>
      </c>
      <c r="D37" s="102">
        <v>0.45</v>
      </c>
      <c r="E37" s="102">
        <v>0.43</v>
      </c>
      <c r="F37" s="102">
        <v>0.48</v>
      </c>
      <c r="G37" s="102">
        <v>0.42</v>
      </c>
      <c r="H37" s="102">
        <v>0.42</v>
      </c>
    </row>
    <row r="38" spans="1:9" x14ac:dyDescent="0.25">
      <c r="C38" s="102">
        <v>4467319.55</v>
      </c>
      <c r="D38" s="102">
        <v>4105015.55</v>
      </c>
      <c r="E38" s="102">
        <v>11048663.470000001</v>
      </c>
      <c r="F38" s="102">
        <v>14263646.720000001</v>
      </c>
      <c r="G38" s="102">
        <v>4108465.38</v>
      </c>
      <c r="H38" s="102">
        <v>8137534.6900000004</v>
      </c>
      <c r="I38" s="102">
        <f>SUM(C38:H38)</f>
        <v>46130645.359999999</v>
      </c>
    </row>
    <row r="39" spans="1:9" x14ac:dyDescent="0.25">
      <c r="C39" s="101"/>
      <c r="D39" s="101"/>
      <c r="E39" s="101"/>
      <c r="F39" s="101"/>
      <c r="G39" s="101"/>
      <c r="H39" s="102"/>
    </row>
    <row r="40" spans="1:9" x14ac:dyDescent="0.25">
      <c r="C40" s="101">
        <v>15161.59</v>
      </c>
      <c r="D40" s="101">
        <v>0</v>
      </c>
      <c r="E40" s="101">
        <v>8366.31</v>
      </c>
      <c r="F40" s="101">
        <v>87947.12</v>
      </c>
      <c r="G40" s="101">
        <v>2890.14</v>
      </c>
      <c r="H40" s="101">
        <v>42765.56</v>
      </c>
      <c r="I40" s="102">
        <f t="shared" ref="I40" si="5">SUM(C40:H40)</f>
        <v>157130.71999999997</v>
      </c>
    </row>
    <row r="41" spans="1:9" x14ac:dyDescent="0.25">
      <c r="C41" s="18"/>
      <c r="D41" s="18"/>
      <c r="E41" s="18"/>
      <c r="F41" s="18"/>
      <c r="G41" s="18"/>
    </row>
    <row r="42" spans="1:9" x14ac:dyDescent="0.25">
      <c r="C42" s="18"/>
      <c r="D42" s="18"/>
      <c r="E42" s="18"/>
      <c r="F42" s="18"/>
    </row>
    <row r="43" spans="1:9" x14ac:dyDescent="0.25">
      <c r="C43" s="18"/>
      <c r="D43" s="18"/>
      <c r="E43" s="18"/>
      <c r="F43" s="18"/>
    </row>
  </sheetData>
  <mergeCells count="1">
    <mergeCell ref="C1:G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I1" sqref="I1:I1048576"/>
    </sheetView>
  </sheetViews>
  <sheetFormatPr defaultRowHeight="15" x14ac:dyDescent="0.25"/>
  <cols>
    <col min="1" max="1" width="4.5703125" customWidth="1"/>
    <col min="2" max="2" width="82.140625" customWidth="1"/>
    <col min="3" max="6" width="12.140625" customWidth="1"/>
    <col min="7" max="7" width="13.28515625" customWidth="1"/>
    <col min="8" max="8" width="12.42578125" customWidth="1"/>
    <col min="9" max="9" width="15.42578125" style="102" customWidth="1"/>
  </cols>
  <sheetData>
    <row r="1" spans="1:9" ht="15.75" thickBot="1" x14ac:dyDescent="0.3">
      <c r="B1" s="2" t="s">
        <v>62</v>
      </c>
    </row>
    <row r="2" spans="1:9" ht="45.75" thickBot="1" x14ac:dyDescent="0.3">
      <c r="B2" s="1" t="s">
        <v>33</v>
      </c>
      <c r="C2" s="61" t="s">
        <v>75</v>
      </c>
      <c r="D2" s="61" t="s">
        <v>76</v>
      </c>
      <c r="E2" s="61" t="s">
        <v>77</v>
      </c>
      <c r="F2" s="61" t="s">
        <v>79</v>
      </c>
      <c r="G2" s="61" t="s">
        <v>80</v>
      </c>
      <c r="H2" s="61" t="s">
        <v>81</v>
      </c>
      <c r="I2" s="103" t="s">
        <v>63</v>
      </c>
    </row>
    <row r="3" spans="1:9" ht="20.100000000000001" customHeight="1" x14ac:dyDescent="0.25">
      <c r="A3" s="3">
        <v>1</v>
      </c>
      <c r="B3" s="4" t="s">
        <v>0</v>
      </c>
      <c r="C3" s="24">
        <v>1120.54</v>
      </c>
      <c r="D3" s="24"/>
      <c r="E3" s="24">
        <v>10171.120000000001</v>
      </c>
      <c r="F3" s="24">
        <v>74807.78</v>
      </c>
      <c r="G3" s="21">
        <v>159.69999999999999</v>
      </c>
      <c r="H3" s="53">
        <v>1688.76</v>
      </c>
      <c r="I3" s="109">
        <f>SUM(C3:H3)</f>
        <v>87947.9</v>
      </c>
    </row>
    <row r="4" spans="1:9" x14ac:dyDescent="0.25">
      <c r="A4" s="3">
        <v>2</v>
      </c>
      <c r="B4" s="4" t="s">
        <v>1</v>
      </c>
      <c r="C4" s="24"/>
      <c r="D4" s="24"/>
      <c r="E4" s="24"/>
      <c r="F4" s="24"/>
      <c r="G4" s="21"/>
      <c r="H4" s="53"/>
      <c r="I4" s="109">
        <f t="shared" ref="I4:I8" si="0">SUM(C4:H4)</f>
        <v>0</v>
      </c>
    </row>
    <row r="5" spans="1:9" x14ac:dyDescent="0.25">
      <c r="A5" s="3">
        <v>3</v>
      </c>
      <c r="B5" s="4" t="s">
        <v>2</v>
      </c>
      <c r="C5" s="24">
        <v>997853.46000000043</v>
      </c>
      <c r="D5" s="24">
        <v>298475.87999999989</v>
      </c>
      <c r="E5" s="24">
        <v>3183219.24</v>
      </c>
      <c r="F5" s="24">
        <v>5766955.1900000023</v>
      </c>
      <c r="G5" s="24">
        <v>1707952.79</v>
      </c>
      <c r="H5" s="24">
        <v>436243.12000000081</v>
      </c>
      <c r="I5" s="109">
        <f t="shared" si="0"/>
        <v>12390699.680000003</v>
      </c>
    </row>
    <row r="6" spans="1:9" x14ac:dyDescent="0.25">
      <c r="A6" s="3">
        <v>4</v>
      </c>
      <c r="B6" s="4" t="s">
        <v>11</v>
      </c>
      <c r="C6" s="24">
        <f>'Данные по МКД-1'!C40-'Данные по МКД-1'!C32</f>
        <v>7884.0268000000005</v>
      </c>
      <c r="D6" s="24">
        <f>'Данные по МКД-1'!D40-'Данные по МКД-1'!D32</f>
        <v>0</v>
      </c>
      <c r="E6" s="24">
        <f>'Данные по МКД-1'!E40-'Данные по МКД-1'!E32</f>
        <v>4768.7966999999999</v>
      </c>
      <c r="F6" s="24">
        <f>'Данные по МКД-1'!F40-'Данные по МКД-1'!F32</f>
        <v>45732.502399999998</v>
      </c>
      <c r="G6" s="24">
        <f>'Данные по МКД-1'!G40-'Данные по МКД-1'!G32</f>
        <v>1676.2811999999999</v>
      </c>
      <c r="H6" s="24">
        <f>'Данные по МКД-1'!H40-'Данные по МКД-1'!H32</f>
        <v>24804.024799999999</v>
      </c>
      <c r="I6" s="109">
        <f t="shared" si="0"/>
        <v>84865.631899999993</v>
      </c>
    </row>
    <row r="7" spans="1:9" x14ac:dyDescent="0.25">
      <c r="A7" s="3">
        <v>5</v>
      </c>
      <c r="B7" s="4" t="s">
        <v>12</v>
      </c>
      <c r="C7" s="24"/>
      <c r="D7" s="24"/>
      <c r="E7" s="24"/>
      <c r="F7" s="24"/>
      <c r="G7" s="24"/>
      <c r="H7" s="24"/>
      <c r="I7" s="109">
        <f t="shared" si="0"/>
        <v>0</v>
      </c>
    </row>
    <row r="8" spans="1:9" x14ac:dyDescent="0.25">
      <c r="A8" s="3">
        <v>6</v>
      </c>
      <c r="B8" s="4" t="s">
        <v>13</v>
      </c>
      <c r="C8" s="24">
        <f>C5-C3+'Данные по МКД-4'!B92-'Данные по МКД-4'!B93+'Данные по МКД-3'!C6</f>
        <v>986719.81079999998</v>
      </c>
      <c r="D8" s="24">
        <f>D5-D3+'Данные по МКД-4'!C92-'Данные по МКД-4'!C93+'Данные по МКД-3'!D6</f>
        <v>474583.23750000028</v>
      </c>
      <c r="E8" s="24">
        <f>E5-E3+'Данные по МКД-4'!D92-'Данные по МКД-4'!D93+'Данные по МКД-3'!E6</f>
        <v>3143925.1087999996</v>
      </c>
      <c r="F8" s="24">
        <f>F5-F3+'Данные по МКД-4'!E92-'Данные по МКД-4'!E93+'Данные по МКД-3'!F6</f>
        <v>7000131.2280000001</v>
      </c>
      <c r="G8" s="24">
        <f>G5-G3+'Данные по МКД-4'!F92-'Данные по МКД-4'!F93+'Данные по МКД-3'!G6</f>
        <v>1749693.6408000002</v>
      </c>
      <c r="H8" s="24">
        <f>H5-H3+'Данные по МКД-4'!G92-'Данные по МКД-4'!G93+'Данные по МКД-3'!H6</f>
        <v>714649.10460000043</v>
      </c>
      <c r="I8" s="109">
        <f t="shared" si="0"/>
        <v>14069702.1305</v>
      </c>
    </row>
    <row r="9" spans="1:9" x14ac:dyDescent="0.25">
      <c r="A9" s="3"/>
      <c r="B9" s="4"/>
      <c r="C9" s="24"/>
      <c r="D9" s="24"/>
      <c r="E9" s="24"/>
      <c r="F9" s="24"/>
      <c r="G9" s="21"/>
      <c r="H9" s="3"/>
      <c r="I9" s="109"/>
    </row>
    <row r="10" spans="1:9" x14ac:dyDescent="0.25">
      <c r="A10" s="3">
        <v>7</v>
      </c>
      <c r="B10" s="4" t="s">
        <v>29</v>
      </c>
      <c r="C10" s="24"/>
      <c r="D10" s="24"/>
      <c r="E10" s="24"/>
      <c r="F10" s="24"/>
      <c r="G10" s="21"/>
      <c r="H10" s="3"/>
      <c r="I10" s="109"/>
    </row>
    <row r="11" spans="1:9" x14ac:dyDescent="0.25">
      <c r="A11" s="3">
        <v>8</v>
      </c>
      <c r="B11" s="4" t="s">
        <v>30</v>
      </c>
      <c r="C11" s="23"/>
      <c r="D11" s="23"/>
      <c r="E11" s="23"/>
      <c r="F11" s="23"/>
      <c r="G11" s="21"/>
      <c r="H11" s="3"/>
      <c r="I11" s="109"/>
    </row>
    <row r="12" spans="1:9" x14ac:dyDescent="0.25">
      <c r="A12" s="3">
        <v>9</v>
      </c>
      <c r="B12" s="4" t="s">
        <v>31</v>
      </c>
      <c r="C12" s="23"/>
      <c r="D12" s="23"/>
      <c r="E12" s="23"/>
      <c r="F12" s="23"/>
      <c r="G12" s="21"/>
      <c r="H12" s="3"/>
      <c r="I12" s="109"/>
    </row>
    <row r="13" spans="1:9" x14ac:dyDescent="0.25">
      <c r="A13" s="3">
        <v>10</v>
      </c>
      <c r="B13" s="4" t="s">
        <v>32</v>
      </c>
      <c r="C13" s="23"/>
      <c r="D13" s="23"/>
      <c r="E13" s="23"/>
      <c r="F13" s="23"/>
      <c r="G13" s="21"/>
      <c r="H13" s="3"/>
      <c r="I13" s="109">
        <f t="shared" ref="I13" si="1">SUM(C13:H13)</f>
        <v>0</v>
      </c>
    </row>
    <row r="14" spans="1:9" x14ac:dyDescent="0.25">
      <c r="C14" s="22"/>
      <c r="D14" s="22"/>
      <c r="E14" s="22"/>
      <c r="F14" s="22"/>
      <c r="G14" s="22"/>
    </row>
    <row r="16" spans="1:9" x14ac:dyDescent="0.25">
      <c r="C16" s="35"/>
      <c r="D16" s="35"/>
      <c r="E16" s="35"/>
      <c r="F16" s="35"/>
      <c r="G16" s="35"/>
      <c r="H16" s="35"/>
    </row>
    <row r="17" spans="3:8" x14ac:dyDescent="0.25">
      <c r="C17" s="35"/>
      <c r="D17" s="35"/>
      <c r="E17" s="35"/>
      <c r="F17" s="35"/>
      <c r="G17" s="35"/>
      <c r="H17" s="35"/>
    </row>
    <row r="23" spans="3:8" x14ac:dyDescent="0.25">
      <c r="D2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E2:G2"/>
    </sheetView>
  </sheetViews>
  <sheetFormatPr defaultRowHeight="15" x14ac:dyDescent="0.25"/>
  <cols>
    <col min="1" max="1" width="79.28515625" customWidth="1"/>
    <col min="2" max="2" width="16.140625" customWidth="1"/>
    <col min="3" max="3" width="10.5703125" bestFit="1" customWidth="1"/>
    <col min="4" max="4" width="11.85546875" customWidth="1"/>
    <col min="6" max="6" width="10.85546875" customWidth="1"/>
    <col min="7" max="7" width="10.7109375" customWidth="1"/>
  </cols>
  <sheetData>
    <row r="1" spans="1:8" ht="15.75" thickBot="1" x14ac:dyDescent="0.3">
      <c r="A1" s="2" t="s">
        <v>62</v>
      </c>
    </row>
    <row r="2" spans="1:8" ht="45.75" thickBot="1" x14ac:dyDescent="0.3">
      <c r="A2" s="1" t="s">
        <v>49</v>
      </c>
      <c r="B2" s="61" t="s">
        <v>75</v>
      </c>
      <c r="C2" s="61" t="s">
        <v>76</v>
      </c>
      <c r="D2" s="61" t="s">
        <v>77</v>
      </c>
      <c r="E2" s="61" t="s">
        <v>79</v>
      </c>
      <c r="F2" s="61" t="s">
        <v>80</v>
      </c>
      <c r="G2" s="61" t="s">
        <v>81</v>
      </c>
      <c r="H2" s="63" t="s">
        <v>63</v>
      </c>
    </row>
    <row r="3" spans="1:8" ht="20.100000000000001" customHeight="1" x14ac:dyDescent="0.25">
      <c r="A3" s="4" t="s">
        <v>46</v>
      </c>
      <c r="B3" s="3"/>
      <c r="C3" s="3"/>
      <c r="D3" s="3"/>
      <c r="E3" s="3"/>
      <c r="F3" s="3"/>
      <c r="G3" s="3"/>
      <c r="H3" s="53">
        <v>0</v>
      </c>
    </row>
    <row r="4" spans="1:8" ht="20.100000000000001" customHeight="1" x14ac:dyDescent="0.25">
      <c r="A4" s="4" t="s">
        <v>47</v>
      </c>
      <c r="B4" s="3"/>
      <c r="C4" s="3"/>
      <c r="D4" s="3"/>
      <c r="E4" s="3"/>
      <c r="F4" s="3"/>
      <c r="G4" s="3"/>
      <c r="H4" s="53"/>
    </row>
    <row r="5" spans="1:8" ht="20.100000000000001" customHeight="1" x14ac:dyDescent="0.25">
      <c r="A5" s="4" t="s">
        <v>48</v>
      </c>
      <c r="B5" s="36"/>
      <c r="C5" s="36"/>
      <c r="D5" s="36"/>
      <c r="E5" s="3"/>
      <c r="F5" s="3"/>
      <c r="G5" s="3"/>
      <c r="H5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Данные по УК</vt:lpstr>
      <vt:lpstr>Данные по МКД-4</vt:lpstr>
      <vt:lpstr>Данные по МКД-6</vt:lpstr>
      <vt:lpstr>Данные по МКД-2</vt:lpstr>
      <vt:lpstr>Данные по МКД-1</vt:lpstr>
      <vt:lpstr>Данные по МКД-3</vt:lpstr>
      <vt:lpstr>Данные по МКД-5</vt:lpstr>
      <vt:lpstr>'Данные по МКД-1'!Область_печати</vt:lpstr>
    </vt:vector>
  </TitlesOfParts>
  <Company>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Синицына Елена Олеговна</cp:lastModifiedBy>
  <cp:lastPrinted>2016-03-25T13:05:58Z</cp:lastPrinted>
  <dcterms:created xsi:type="dcterms:W3CDTF">2016-03-23T13:09:41Z</dcterms:created>
  <dcterms:modified xsi:type="dcterms:W3CDTF">2019-03-26T12:52:23Z</dcterms:modified>
</cp:coreProperties>
</file>